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385" windowWidth="13155" windowHeight="7890" activeTab="7"/>
  </bookViews>
  <sheets>
    <sheet name="Gaisa apmaiņas" sheetId="2" r:id="rId1"/>
    <sheet name="Ventilācija" sheetId="4" r:id="rId2"/>
    <sheet name="Demontāža" sheetId="5" r:id="rId3"/>
    <sheet name="Grīdu apsilde" sheetId="6" r:id="rId4"/>
    <sheet name="Boileru silt.apg." sheetId="7" r:id="rId5"/>
    <sheet name="Kaloriferu silt.apg." sheetId="8" r:id="rId6"/>
    <sheet name="Radiatoru apkure" sheetId="9" r:id="rId7"/>
    <sheet name="Siltummezgls" sheetId="10" r:id="rId8"/>
  </sheets>
  <definedNames>
    <definedName name="_xlnm.Print_Titles" localSheetId="4">'Boileru silt.apg.'!$1:$3</definedName>
    <definedName name="_xlnm.Print_Titles" localSheetId="2">Demontāža!$1:$3</definedName>
    <definedName name="_xlnm.Print_Titles" localSheetId="0">'Gaisa apmaiņas'!$1:$3</definedName>
    <definedName name="_xlnm.Print_Titles" localSheetId="3">'Grīdu apsilde'!$1:$3</definedName>
    <definedName name="_xlnm.Print_Titles" localSheetId="5">'Kaloriferu silt.apg.'!$1:$3</definedName>
    <definedName name="_xlnm.Print_Titles" localSheetId="6">'Radiatoru apkure'!$1:$3</definedName>
    <definedName name="_xlnm.Print_Titles" localSheetId="7">Siltummezgls!$1:$3</definedName>
    <definedName name="_xlnm.Print_Titles" localSheetId="1">Ventilācija!$1:$3</definedName>
  </definedNames>
  <calcPr calcId="144525"/>
</workbook>
</file>

<file path=xl/calcChain.xml><?xml version="1.0" encoding="utf-8"?>
<calcChain xmlns="http://schemas.openxmlformats.org/spreadsheetml/2006/main">
  <c r="J129" i="2" l="1"/>
  <c r="I129" i="2"/>
  <c r="J124" i="2"/>
  <c r="I124" i="2"/>
  <c r="I132" i="2" s="1"/>
  <c r="D132" i="2"/>
  <c r="E76" i="10"/>
  <c r="E75" i="10"/>
  <c r="E74" i="10"/>
  <c r="E73" i="10"/>
  <c r="E72" i="10"/>
  <c r="E71" i="10"/>
  <c r="J132" i="2" l="1"/>
  <c r="E60" i="9"/>
  <c r="E55" i="9"/>
  <c r="E54" i="9"/>
  <c r="E53" i="9"/>
  <c r="E34" i="9" l="1"/>
  <c r="E33" i="9"/>
  <c r="E35" i="9"/>
  <c r="E32" i="9"/>
  <c r="E31" i="9"/>
  <c r="E13" i="8" l="1"/>
  <c r="E14" i="8"/>
  <c r="E16" i="8"/>
  <c r="E17" i="8"/>
  <c r="E12" i="8"/>
  <c r="E7" i="8"/>
  <c r="E15" i="8" s="1"/>
  <c r="E15" i="7"/>
  <c r="E14" i="7"/>
  <c r="E18" i="7"/>
  <c r="E17" i="7"/>
  <c r="E16" i="7"/>
  <c r="E9" i="7"/>
  <c r="E8" i="7"/>
  <c r="E43" i="6"/>
  <c r="E12" i="6"/>
  <c r="E11" i="6"/>
  <c r="E10" i="6"/>
  <c r="E458" i="4" l="1"/>
  <c r="E446" i="4"/>
  <c r="E445" i="4"/>
  <c r="E443" i="4"/>
  <c r="E442" i="4"/>
  <c r="E441" i="4"/>
  <c r="E440" i="4"/>
  <c r="E439" i="4"/>
  <c r="E438" i="4"/>
  <c r="E428" i="4"/>
  <c r="E427" i="4"/>
  <c r="E417" i="4"/>
  <c r="E416" i="4"/>
  <c r="E403" i="4"/>
  <c r="E402" i="4"/>
  <c r="E401" i="4"/>
  <c r="E400" i="4"/>
  <c r="E383" i="4"/>
  <c r="E382" i="4"/>
  <c r="E381" i="4"/>
  <c r="E380" i="4"/>
  <c r="E379" i="4"/>
  <c r="E378" i="4"/>
  <c r="E377" i="4"/>
  <c r="E376" i="4"/>
  <c r="E375" i="4"/>
  <c r="E374" i="4"/>
  <c r="E373" i="4"/>
  <c r="E372" i="4"/>
  <c r="E371" i="4"/>
  <c r="E352" i="4"/>
  <c r="E351" i="4"/>
  <c r="E350" i="4"/>
  <c r="E349" i="4"/>
  <c r="E348" i="4"/>
  <c r="E347" i="4"/>
  <c r="E353" i="4" s="1"/>
  <c r="E334" i="4"/>
  <c r="E332" i="4"/>
  <c r="E331" i="4"/>
  <c r="E330" i="4"/>
  <c r="E329" i="4"/>
  <c r="E328" i="4"/>
  <c r="E327" i="4"/>
  <c r="E326" i="4"/>
  <c r="E325" i="4"/>
  <c r="E324" i="4"/>
  <c r="E323" i="4"/>
  <c r="E302" i="4"/>
  <c r="E301" i="4"/>
  <c r="E300" i="4"/>
  <c r="E299" i="4"/>
  <c r="E298" i="4"/>
  <c r="E297" i="4"/>
  <c r="E296" i="4"/>
  <c r="E295" i="4"/>
  <c r="E294" i="4"/>
  <c r="E293" i="4"/>
  <c r="E292" i="4"/>
  <c r="E291" i="4"/>
  <c r="E269" i="4"/>
  <c r="E267" i="4"/>
  <c r="E266" i="4"/>
  <c r="E265" i="4"/>
  <c r="E264" i="4"/>
  <c r="E263" i="4"/>
  <c r="E262" i="4"/>
  <c r="E261" i="4"/>
  <c r="E260" i="4"/>
  <c r="E241" i="4"/>
  <c r="E240" i="4"/>
  <c r="E239" i="4"/>
  <c r="E238" i="4"/>
  <c r="E237" i="4"/>
  <c r="E236" i="4"/>
  <c r="E235" i="4"/>
  <c r="E234" i="4"/>
  <c r="E233" i="4"/>
  <c r="E232" i="4"/>
  <c r="E213" i="4"/>
  <c r="E212" i="4"/>
  <c r="E211" i="4"/>
  <c r="E210" i="4"/>
  <c r="E209" i="4"/>
  <c r="E207" i="4"/>
  <c r="E214" i="4" s="1"/>
  <c r="E206" i="4"/>
  <c r="E205" i="4"/>
  <c r="E204" i="4"/>
  <c r="E203" i="4"/>
  <c r="E185" i="4"/>
  <c r="E184" i="4"/>
  <c r="E183" i="4"/>
  <c r="E180" i="4"/>
  <c r="E179" i="4"/>
  <c r="E176" i="4"/>
  <c r="E175" i="4"/>
  <c r="E174" i="4"/>
  <c r="E173" i="4"/>
  <c r="E151" i="4"/>
  <c r="E149" i="4"/>
  <c r="E148" i="4"/>
  <c r="E147" i="4"/>
  <c r="E136" i="4"/>
  <c r="E135" i="4"/>
  <c r="E134" i="4"/>
  <c r="E133" i="4"/>
  <c r="E132" i="4"/>
  <c r="E131" i="4"/>
  <c r="E130" i="4"/>
  <c r="E129" i="4"/>
  <c r="E107" i="4"/>
  <c r="E106" i="4"/>
  <c r="E105" i="4"/>
  <c r="E103" i="4"/>
  <c r="E102" i="4"/>
  <c r="E101" i="4"/>
  <c r="E100" i="4"/>
  <c r="E99" i="4"/>
  <c r="E83" i="4"/>
  <c r="E82" i="4"/>
  <c r="E81" i="4"/>
  <c r="E80" i="4"/>
  <c r="E77" i="4"/>
  <c r="E76" i="4"/>
  <c r="E75" i="4"/>
  <c r="E74" i="4"/>
  <c r="E52" i="4" l="1"/>
  <c r="E51" i="4"/>
  <c r="E50" i="4"/>
  <c r="E49" i="4"/>
  <c r="E48" i="4"/>
  <c r="F122" i="2" l="1"/>
  <c r="H122" i="2" s="1"/>
  <c r="G110" i="2" l="1"/>
  <c r="J55" i="2" l="1"/>
  <c r="J40" i="2" l="1"/>
  <c r="I108" i="2"/>
  <c r="J108" i="2" s="1"/>
  <c r="I120" i="2"/>
  <c r="J120" i="2" s="1"/>
  <c r="I119" i="2"/>
  <c r="J119" i="2" s="1"/>
  <c r="I114" i="2"/>
  <c r="J114" i="2" s="1"/>
  <c r="I113" i="2"/>
  <c r="J113" i="2" s="1"/>
  <c r="I107" i="2"/>
  <c r="I105" i="2"/>
  <c r="I104" i="2"/>
  <c r="J104" i="2" s="1"/>
  <c r="I103" i="2"/>
  <c r="J103" i="2" s="1"/>
  <c r="I97" i="2"/>
  <c r="J97" i="2" s="1"/>
  <c r="I95" i="2"/>
  <c r="J95" i="2" s="1"/>
  <c r="I93" i="2"/>
  <c r="J93" i="2" s="1"/>
  <c r="J76" i="2"/>
  <c r="J69" i="2"/>
  <c r="J64" i="2"/>
  <c r="I47" i="2"/>
  <c r="J47" i="2" s="1"/>
  <c r="I46" i="2"/>
  <c r="J46" i="2" s="1"/>
  <c r="I44" i="2"/>
  <c r="J16" i="2"/>
  <c r="J15" i="2"/>
  <c r="I11" i="2"/>
  <c r="D10" i="2"/>
  <c r="F10" i="2" s="1"/>
  <c r="H10" i="2" s="1"/>
  <c r="F118" i="2"/>
  <c r="J118" i="2" s="1"/>
  <c r="F76" i="2"/>
  <c r="G76" i="2" s="1"/>
  <c r="F75" i="2"/>
  <c r="H75" i="2" s="1"/>
  <c r="F74" i="2"/>
  <c r="F73" i="2"/>
  <c r="H73" i="2" s="1"/>
  <c r="F71" i="2"/>
  <c r="F70" i="2"/>
  <c r="F69" i="2"/>
  <c r="F68" i="2"/>
  <c r="H68" i="2" s="1"/>
  <c r="F67" i="2"/>
  <c r="H69" i="2" l="1"/>
  <c r="H76" i="2"/>
  <c r="J105" i="2"/>
  <c r="I30" i="2"/>
  <c r="J11" i="2"/>
  <c r="I118" i="2"/>
  <c r="J107" i="2"/>
  <c r="J44" i="2"/>
  <c r="H74" i="2"/>
  <c r="G74" i="2"/>
  <c r="G69" i="2"/>
  <c r="H67" i="2"/>
  <c r="G67" i="2"/>
  <c r="J63" i="2"/>
  <c r="F128" i="2" l="1"/>
  <c r="J128" i="2" s="1"/>
  <c r="F127" i="2"/>
  <c r="J127" i="2" s="1"/>
  <c r="F86" i="2"/>
  <c r="G86" i="2" s="1"/>
  <c r="F87" i="2"/>
  <c r="F88" i="2"/>
  <c r="F89" i="2"/>
  <c r="H89" i="2" s="1"/>
  <c r="F90" i="2"/>
  <c r="F91" i="2"/>
  <c r="H91" i="2" s="1"/>
  <c r="F92" i="2"/>
  <c r="F93" i="2"/>
  <c r="F94" i="2"/>
  <c r="F95" i="2"/>
  <c r="F96" i="2"/>
  <c r="F97" i="2"/>
  <c r="F98" i="2"/>
  <c r="F99" i="2"/>
  <c r="F100" i="2"/>
  <c r="H100" i="2" s="1"/>
  <c r="F101" i="2"/>
  <c r="F102" i="2"/>
  <c r="H102" i="2" s="1"/>
  <c r="F103" i="2"/>
  <c r="F104" i="2"/>
  <c r="F105" i="2"/>
  <c r="G105" i="2" s="1"/>
  <c r="F106" i="2"/>
  <c r="F107" i="2"/>
  <c r="G107" i="2" s="1"/>
  <c r="F108" i="2"/>
  <c r="F109" i="2"/>
  <c r="G109" i="2" s="1"/>
  <c r="F110" i="2"/>
  <c r="I110" i="2" s="1"/>
  <c r="F111" i="2"/>
  <c r="F112" i="2"/>
  <c r="F113" i="2"/>
  <c r="G113" i="2" s="1"/>
  <c r="F114" i="2"/>
  <c r="F115" i="2"/>
  <c r="F116" i="2"/>
  <c r="F117" i="2"/>
  <c r="H117" i="2" s="1"/>
  <c r="F119" i="2"/>
  <c r="F120" i="2"/>
  <c r="F121" i="2"/>
  <c r="F123" i="2"/>
  <c r="F85" i="2"/>
  <c r="F34" i="2"/>
  <c r="F35" i="2"/>
  <c r="F36" i="2"/>
  <c r="H36" i="2" s="1"/>
  <c r="F37" i="2"/>
  <c r="H37" i="2" s="1"/>
  <c r="F38" i="2"/>
  <c r="H38" i="2" s="1"/>
  <c r="F39" i="2"/>
  <c r="F40" i="2"/>
  <c r="F41" i="2"/>
  <c r="F42" i="2"/>
  <c r="F43" i="2"/>
  <c r="F44" i="2"/>
  <c r="G44" i="2" s="1"/>
  <c r="F45" i="2"/>
  <c r="G45" i="2" s="1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G60" i="2" s="1"/>
  <c r="F61" i="2"/>
  <c r="F62" i="2"/>
  <c r="F63" i="2"/>
  <c r="G63" i="2" s="1"/>
  <c r="F64" i="2"/>
  <c r="F65" i="2"/>
  <c r="F66" i="2"/>
  <c r="H66" i="2" s="1"/>
  <c r="F72" i="2"/>
  <c r="F77" i="2"/>
  <c r="F78" i="2"/>
  <c r="F79" i="2"/>
  <c r="F80" i="2"/>
  <c r="F81" i="2"/>
  <c r="F33" i="2"/>
  <c r="F6" i="2"/>
  <c r="G6" i="2" s="1"/>
  <c r="F7" i="2"/>
  <c r="G7" i="2" s="1"/>
  <c r="F8" i="2"/>
  <c r="H8" i="2" s="1"/>
  <c r="F9" i="2"/>
  <c r="H9" i="2" s="1"/>
  <c r="F11" i="2"/>
  <c r="G11" i="2" s="1"/>
  <c r="F12" i="2"/>
  <c r="F13" i="2"/>
  <c r="G13" i="2" s="1"/>
  <c r="F14" i="2"/>
  <c r="F15" i="2"/>
  <c r="F16" i="2"/>
  <c r="F17" i="2"/>
  <c r="F18" i="2"/>
  <c r="F19" i="2"/>
  <c r="F20" i="2"/>
  <c r="F21" i="2"/>
  <c r="J21" i="2" s="1"/>
  <c r="J30" i="2" s="1"/>
  <c r="F22" i="2"/>
  <c r="F23" i="2"/>
  <c r="F24" i="2"/>
  <c r="G24" i="2" s="1"/>
  <c r="F25" i="2"/>
  <c r="G25" i="2" s="1"/>
  <c r="F26" i="2"/>
  <c r="F27" i="2"/>
  <c r="G27" i="2" s="1"/>
  <c r="F28" i="2"/>
  <c r="G28" i="2" s="1"/>
  <c r="F29" i="2"/>
  <c r="F5" i="2"/>
  <c r="D129" i="2"/>
  <c r="D124" i="2"/>
  <c r="D82" i="2"/>
  <c r="D30" i="2"/>
  <c r="H121" i="2" l="1"/>
  <c r="G121" i="2"/>
  <c r="H115" i="2"/>
  <c r="G115" i="2"/>
  <c r="H63" i="2"/>
  <c r="H44" i="2"/>
  <c r="H11" i="2"/>
  <c r="G15" i="2"/>
  <c r="H15" i="2"/>
  <c r="H48" i="2"/>
  <c r="G48" i="2"/>
  <c r="G39" i="2"/>
  <c r="H39" i="2"/>
  <c r="H104" i="2"/>
  <c r="G104" i="2"/>
  <c r="J96" i="2"/>
  <c r="I96" i="2"/>
  <c r="H105" i="2"/>
  <c r="J106" i="2"/>
  <c r="I106" i="2"/>
  <c r="G97" i="2"/>
  <c r="H97" i="2"/>
  <c r="H120" i="2"/>
  <c r="G120" i="2"/>
  <c r="G103" i="2"/>
  <c r="H103" i="2"/>
  <c r="J87" i="2"/>
  <c r="I87" i="2"/>
  <c r="G119" i="2"/>
  <c r="H119" i="2"/>
  <c r="H113" i="2"/>
  <c r="G64" i="2"/>
  <c r="H64" i="2"/>
  <c r="G95" i="2"/>
  <c r="H95" i="2"/>
  <c r="I77" i="2"/>
  <c r="J77" i="2"/>
  <c r="H93" i="2"/>
  <c r="G93" i="2"/>
  <c r="H114" i="2"/>
  <c r="G114" i="2"/>
  <c r="J98" i="2"/>
  <c r="I98" i="2"/>
  <c r="G40" i="2"/>
  <c r="H40" i="2"/>
  <c r="H107" i="2"/>
  <c r="G16" i="2"/>
  <c r="H16" i="2"/>
  <c r="H108" i="2"/>
  <c r="G108" i="2"/>
  <c r="J92" i="2"/>
  <c r="I92" i="2"/>
  <c r="G46" i="2"/>
  <c r="H46" i="2"/>
  <c r="H47" i="2"/>
  <c r="G47" i="2"/>
  <c r="F129" i="2"/>
  <c r="H55" i="2"/>
  <c r="G55" i="2"/>
  <c r="G61" i="2"/>
  <c r="H61" i="2"/>
  <c r="F30" i="2"/>
  <c r="F124" i="2"/>
  <c r="F82" i="2"/>
  <c r="J82" i="2" l="1"/>
  <c r="I82" i="2"/>
  <c r="F132" i="2"/>
</calcChain>
</file>

<file path=xl/sharedStrings.xml><?xml version="1.0" encoding="utf-8"?>
<sst xmlns="http://schemas.openxmlformats.org/spreadsheetml/2006/main" count="2624" uniqueCount="547">
  <si>
    <t>Telpas nosaukums</t>
  </si>
  <si>
    <t>Kāpņu telpa</t>
  </si>
  <si>
    <t>Gaitenis</t>
  </si>
  <si>
    <t>Kabinets</t>
  </si>
  <si>
    <t>WC</t>
  </si>
  <si>
    <t>Tehniskā telpa</t>
  </si>
  <si>
    <t>Noliktava</t>
  </si>
  <si>
    <t>Priekštelpa</t>
  </si>
  <si>
    <t>Trauku mazgātuve</t>
  </si>
  <si>
    <t>Sauso produktu noliktava</t>
  </si>
  <si>
    <t>GAISA APMAIŅU APRĒĶINA TABULA</t>
  </si>
  <si>
    <t>Pielikums Nr.1</t>
  </si>
  <si>
    <t>Telpas Nr.</t>
  </si>
  <si>
    <t>Telpas izmēri</t>
  </si>
  <si>
    <t>Gaisa apmaiņas kārtas</t>
  </si>
  <si>
    <t>Gaisa apmaiņas apjoms</t>
  </si>
  <si>
    <t>Piezīmes</t>
  </si>
  <si>
    <r>
      <t>Telpas apkures aprēķina temperatūra  C</t>
    </r>
    <r>
      <rPr>
        <vertAlign val="superscript"/>
        <sz val="10"/>
        <rFont val="Arial"/>
        <family val="2"/>
        <charset val="186"/>
      </rPr>
      <t>o</t>
    </r>
  </si>
  <si>
    <t>Grīdas laukums</t>
  </si>
  <si>
    <t>Telpas augstums</t>
  </si>
  <si>
    <t>Tilpums</t>
  </si>
  <si>
    <t>P</t>
  </si>
  <si>
    <t>N</t>
  </si>
  <si>
    <t>PAGRABA STĀVS.</t>
  </si>
  <si>
    <t>1. STĀVS.</t>
  </si>
  <si>
    <t>Vējtveris</t>
  </si>
  <si>
    <t>2. STĀVS.</t>
  </si>
  <si>
    <t>Palīgtelpa</t>
  </si>
  <si>
    <t>Pagrabs</t>
  </si>
  <si>
    <t>Saimniecības dienesta telpa</t>
  </si>
  <si>
    <t>Instrumentu noliktava</t>
  </si>
  <si>
    <t>Zēnu mājturības kabinets</t>
  </si>
  <si>
    <t>Elektrosadales telpa</t>
  </si>
  <si>
    <t>Mazgāšanās telpa</t>
  </si>
  <si>
    <t>Invalīdu WC</t>
  </si>
  <si>
    <t>Ēdamistaba</t>
  </si>
  <si>
    <t>Ēdienu izdales telpa</t>
  </si>
  <si>
    <t>Zobārsta kabinets</t>
  </si>
  <si>
    <t>Medpunkts</t>
  </si>
  <si>
    <t>Skolotāju istaba</t>
  </si>
  <si>
    <t>Arhīvs</t>
  </si>
  <si>
    <t>Virtuve</t>
  </si>
  <si>
    <t>Sakņu noliktava</t>
  </si>
  <si>
    <t>Dežuranta telpa</t>
  </si>
  <si>
    <t>Ģērbtuve</t>
  </si>
  <si>
    <t>Zāle</t>
  </si>
  <si>
    <t>TEHNISKAIS STĀVS.</t>
  </si>
  <si>
    <t xml:space="preserve"> -</t>
  </si>
  <si>
    <r>
      <t>2,8 l/s uz m</t>
    </r>
    <r>
      <rPr>
        <vertAlign val="superscript"/>
        <sz val="11"/>
        <color theme="1"/>
        <rFont val="Calibri"/>
        <family val="2"/>
        <charset val="186"/>
        <scheme val="minor"/>
      </rPr>
      <t>2</t>
    </r>
  </si>
  <si>
    <t>skat.113.</t>
  </si>
  <si>
    <t>skat.120.</t>
  </si>
  <si>
    <t>Patrepe</t>
  </si>
  <si>
    <t>Siltummezgls</t>
  </si>
  <si>
    <r>
      <t>4,2 l/s uz m</t>
    </r>
    <r>
      <rPr>
        <vertAlign val="superscript"/>
        <sz val="11"/>
        <color theme="1"/>
        <rFont val="Calibri"/>
        <family val="2"/>
        <charset val="186"/>
        <scheme val="minor"/>
      </rPr>
      <t>2</t>
    </r>
  </si>
  <si>
    <t>Veļas mazgātava</t>
  </si>
  <si>
    <t>Mazgāšanās telpa, WC</t>
  </si>
  <si>
    <t>Apkopējas inventāra telpa</t>
  </si>
  <si>
    <t>PN1</t>
  </si>
  <si>
    <t>PN2</t>
  </si>
  <si>
    <t>PN3</t>
  </si>
  <si>
    <t>PN4</t>
  </si>
  <si>
    <t>PN6</t>
  </si>
  <si>
    <t>PN7</t>
  </si>
  <si>
    <t>PN8</t>
  </si>
  <si>
    <t>PN9</t>
  </si>
  <si>
    <t>PN10</t>
  </si>
  <si>
    <t>PN11</t>
  </si>
  <si>
    <t>PN12</t>
  </si>
  <si>
    <t>PN13</t>
  </si>
  <si>
    <t>P5</t>
  </si>
  <si>
    <t>N14</t>
  </si>
  <si>
    <t>N15</t>
  </si>
  <si>
    <t>N5</t>
  </si>
  <si>
    <t>N.p.k.</t>
  </si>
  <si>
    <t xml:space="preserve"> Nosaukums</t>
  </si>
  <si>
    <t>Iekārtu un materiālu raksturojums</t>
  </si>
  <si>
    <t>Mēra vien.</t>
  </si>
  <si>
    <t>Daudz.</t>
  </si>
  <si>
    <t>k-ts</t>
  </si>
  <si>
    <t>Trokšņu slāpētājs</t>
  </si>
  <si>
    <t>gab.</t>
  </si>
  <si>
    <t>Ugunsdrošības vārsts</t>
  </si>
  <si>
    <t>D=160</t>
  </si>
  <si>
    <t>m</t>
  </si>
  <si>
    <t>D=200</t>
  </si>
  <si>
    <t>D=250</t>
  </si>
  <si>
    <t>D=315</t>
  </si>
  <si>
    <t>400x250</t>
  </si>
  <si>
    <t>1200x400</t>
  </si>
  <si>
    <t>250x250</t>
  </si>
  <si>
    <t>400x400</t>
  </si>
  <si>
    <r>
      <t>m</t>
    </r>
    <r>
      <rPr>
        <vertAlign val="superscript"/>
        <sz val="10"/>
        <rFont val="Tahoma"/>
        <family val="2"/>
        <charset val="186"/>
      </rPr>
      <t>2</t>
    </r>
  </si>
  <si>
    <t>Alumīnija armēta līmlenta izolācijas savienošanai</t>
  </si>
  <si>
    <t>Izolācijas stiklašķiedras savilces ar fiksatoriem</t>
  </si>
  <si>
    <t>Montāžas palīgmateriāli</t>
  </si>
  <si>
    <t>Gaisa vadu stiprinājumi, kronšteini, blīvgumijas</t>
  </si>
  <si>
    <t>Caurumu izveidošana un aizdarināšana mūra konstrukcijās gaisa vadu montāžai</t>
  </si>
  <si>
    <t>500x400</t>
  </si>
  <si>
    <t>D=125</t>
  </si>
  <si>
    <t>D=100</t>
  </si>
  <si>
    <t>400x200</t>
  </si>
  <si>
    <t>800x500</t>
  </si>
  <si>
    <t>vieta</t>
  </si>
  <si>
    <t>200x200</t>
  </si>
  <si>
    <t>Gaisa caurplūdes</t>
  </si>
  <si>
    <t>Caurplūdes plastikāta restīte durvīs 500x50</t>
  </si>
  <si>
    <t>TVA 500x50</t>
  </si>
  <si>
    <t>Izveidot atvērumu durvju vērtnē (vidējs durvju remonts) ar izmēru 600x100</t>
  </si>
  <si>
    <t>Esošo ventilācijas sistēmu demontāža</t>
  </si>
  <si>
    <t>Gaisa vadu līdz perimetram P=1,2 m demontāža</t>
  </si>
  <si>
    <t>Pēc demontāžas esošo caurumu aizdarināšana</t>
  </si>
  <si>
    <t>PN1  Komfovent</t>
  </si>
  <si>
    <t>PN2  Komfovent</t>
  </si>
  <si>
    <t>PN3  Komfovent</t>
  </si>
  <si>
    <t>PN4  Komfovent</t>
  </si>
  <si>
    <t>PN6  Komfovent</t>
  </si>
  <si>
    <t>PN7  Komfovent</t>
  </si>
  <si>
    <t>PN8  Komfovent</t>
  </si>
  <si>
    <t>PN9  Komfovent</t>
  </si>
  <si>
    <t>P5  Komfovent</t>
  </si>
  <si>
    <t>PN10  Komfovent</t>
  </si>
  <si>
    <t>PN11  Komfovent</t>
  </si>
  <si>
    <t>PN12  Komfovent</t>
  </si>
  <si>
    <t>PN13  Komfovent</t>
  </si>
  <si>
    <t>Verso-R-1200-L-UV-EC/0,47-F7-M5-HCW/4R/2,4-X-R1-C5.1-X</t>
  </si>
  <si>
    <t>Verso-R-2000-L-UV-EC/0,5-F7-M5-HCW/4R/2,4-X-R1-C5.1-X</t>
  </si>
  <si>
    <t>Ventilācijas gaisa apstrādes agregāts (svars 195kg)  iekštelpu izpildījumā ar ventilatoriem pieplūdē un nosūce (ar frekvenču pārveidotājiem) L=1070/900 m3/h; P=150/150 Pa; ar rotācijas tipa rekuperatoru (ar frekvenču pārveidotāju un kondensāta novadīšanu) Q=12,8kW; ūdens kaloriferi Q=3,7 kW; gaisa filtriem F7/M5, gaisa aizvariem pieplūdē un nosūcē ar el.izpildmehānismiem NM24 un automātiskās vadības bloku C5.1.</t>
  </si>
  <si>
    <t>Ventilācijas gaisa apstrādes agregāts (svars 285kg)  iekštelpu izpildījumā ar ventilatoriem pieplūdē un nosūce (ar frekvenču pārveidotājiem) L=1620/1720 m3/h; P=250/250 Pa; ar rotācijas tipa rekuperatoru (ar frekvenču pārveidotāju un kondensāta novadīšanu) Q=18,8kW; ūdens kaloriferi Q=3,6 kW; gaisa filtriem F7/M5, gaisa aizvariem pieplūdē un nosūcē ar el.izpildmehānismiem NM24 un automātiskās vadības bloku C5.1.</t>
  </si>
  <si>
    <t>Verso-R-1600-L-UV-EC/0,47-F7-M5-HCW/4R/2,4-X-R1-C5.1-X</t>
  </si>
  <si>
    <t>Ventilācijas gaisa apstrādes agregāts (svars 270kg)  iekštelpu izpildījumā ar ventilatoriem pieplūdē un nosūce (ar frekvenču pārveidotājiem) L=1620/1620 m3/h; P=200/200 Pa; ar rotācijas tipa rekuperatoru (ar frekvenču pārveidotāju un kondensāta novadīšanu) Q=19,8kW; ūdens kaloriferi Q=4,3 kW; gaisa filtriem F7/M5, gaisa aizvariem pieplūdē un nosūcē ar el.izpildmehānismiem NM24 un automātiskās vadības bloku C5.1.</t>
  </si>
  <si>
    <t>Domekt-R-900-L-UV-EC/0,17-F7-M5-HCW/4R/2,4-X-R1-C5.1/LDC-X (REGO-900UVW-R-EC-C5.1)</t>
  </si>
  <si>
    <t>Ventilācijas gaisa apstrādes agregāts (svars 195kg)  iekštelpu izpildījumā ar ventilatoriem pieplūdē un nosūce (ar frekvenču pārveidotājiem) L=785/685 m3/h; P=150/150 Pa; ar rotācijas tipa rekuperatoru (ar frekvenču pārveidotāju un kondensāta novadīšanu) Q=8,9kW; ūdens kaloriferi Q=2,88 kW; gaisa filtriem F7/M5, gaisa aizvariem pieplūdē un nosūcē ar el.izpildmehānismiem NM24 un automātiskās vadības bloku C5.1.</t>
  </si>
  <si>
    <t xml:space="preserve">Šunta mezgls ar cirkulācijas sūkni Yonos Pico 25/1-4, ar trīsgaitu vārstu Siemens VXP47.10-1,6 komplektā ar elektromotora izpildmehānismu Siemens SSP61 </t>
  </si>
  <si>
    <t>PPU-1,6-25/20</t>
  </si>
  <si>
    <t>Ventilācijas gaisa apstrādes agregāts (svars 270kg)  iekštelpu izpildījumā ar ventilatoriem pieplūdē un nosūce (ar frekvenču pārveidotājiem) L=1715/1435 m3/h; P=200/200 Pa; ar rotācijas tipa rekuperatoru (ar frekvenču pārveidotāju un kondensāta novadīšanu) Q=18,8kW; ūdens kaloriferi Q=7,0 kW; gaisa filtriem F7/M5, gaisa aizvariem pieplūdē un nosūcē ar el.izpildmehānismiem NM24 un automātiskās vadības bloku C5.1.</t>
  </si>
  <si>
    <t>Verso-R-1400-L-UV-EC/0,47-F7-M5-HCW/4R/2,4-X-R1-C5.1-X</t>
  </si>
  <si>
    <t>Ventilācijas gaisa apstrādes agregāts (svars 195kg)  iekštelpu izpildījumā ar ventilatoriem pieplūdē un nosūce (ar frekvenču pārveidotājiem) L=1375/1265 m3/h; P=180/180 Pa; ar rotācijas tipa rekuperatoru (ar frekvenču pārveidotāju un kondensāta novadīšanu) Q=16,6kW; ūdens kaloriferi Q=4,2 kW; gaisa filtriem F7/M5, gaisa aizvariem pieplūdē un nosūcē ar el.izpildmehānismiem NM24 un automātiskās vadības bloku C5.1.</t>
  </si>
  <si>
    <t>Ventilācijas gaisa apstrādes agregāts (svars 195kg)  iekštelpu izpildījumā ar ventilatoriem pieplūdē un nosūce (ar frekvenču pārveidotājiem) L=1005/1045 m3/h; P=200/200 Pa; ar rotācijas tipa rekuperatoru (ar frekvenču pārveidotāju un kondensāta novadīšanu) Q=14,5kW; ūdens kaloriferi Q=2,0 kW; gaisa filtriem F7/M5, gaisa aizvariem pieplūdē un nosūcē ar el.izpildmehānismiem NM24 un automātiskās vadības bloku C5.1.</t>
  </si>
  <si>
    <t>Ventilācijas gaisa apstrādes agregāts (svars 195kg)  iekštelpu izpildījumā ar ventilatoriem pieplūdē un nosūce (ar frekvenču pārveidotājiem) L=1025/1075 m3/h; P=200/200 Pa; ar rotācijas tipa rekuperatoru (ar frekvenču pārveidotāju un kondensāta novadīšanu) Q=14,7kW; ūdens kaloriferi Q=2,0 kW; gaisa filtriem F7/M5, gaisa aizvariem pieplūdē un nosūcē ar el.izpildmehānismiem NM24 un automātiskās vadības bloku C5.1.</t>
  </si>
  <si>
    <t>Ventilācijas gaisa apstrādes agregāts (svars 195kg)  iekštelpu izpildījumā ar ventilatoriem pieplūdē un nosūce (ar frekvenču pārveidotājiem) L=1455/1400 m3/h; P=150/150 Pa; ar rotācijas tipa rekuperatoru (ar frekvenču pārveidotāju un kondensāta novadīšanu) Q=16,6kW; ūdens kaloriferi Q=4,1 kW; gaisa filtriem F7/M5, gaisa aizvariem pieplūdē un nosūcē ar el.izpildmehānismiem NM24 un automātiskās vadības bloku C5.1.</t>
  </si>
  <si>
    <t>Ventilācijas gaisa apstrādes agregāts (svars 195kg)  iekštelpu izpildījumā ar ventilatoriem pieplūdē un nosūce (ar frekvenču pārveidotājiem) L=1430/1365 m3/h; P=150/150 Pa; ar rotācijas tipa rekuperatoru (ar frekvenču pārveidotāju un kondensāta novadīšanu) Q=17,5kW; ūdens kaloriferi Q=4,0 kW; gaisa filtriem F7/M5, gaisa aizvariem pieplūdē un nosūcē ar el.izpildmehānismiem NM24 un automātiskās vadības bloku C5.1.</t>
  </si>
  <si>
    <t>Ventilācijas gaisa apstrādes agregāts (svars 195kg)  iekštelpu izpildījumā ar ventilatoriem pieplūdē un nosūce (ar frekvenču pārveidotājiem) L=1140/1140 m3/h; P=150/150 Pa; ar rotācijas tipa rekuperatoru (ar frekvenču pārveidotāju un kondensāta novadīšanu) Q=14,8kW; ūdens kaloriferi Q=2,5 kW; gaisa filtriem F7/M5, gaisa aizvariem pieplūdē un nosūcē ar el.izpildmehānismiem NM24 un automātiskās vadības bloku C5.1.</t>
  </si>
  <si>
    <t>Ventilācijas gaisa apstrādes agregāts (svars 195kg)  iekštelpu izpildījumā ar ventilatoriem pieplūdē un nosūce (ar frekvenču pārveidotājiem) L=1165/985 m3/h; P=150/150 Pa; ar rotācijas tipa rekuperatoru (ar frekvenču pārveidotāju un kondensāta novadīšanu) Q=12,5kW; ūdens kaloriferi Q=4,0 kW; gaisa filtriem F7/M5, gaisa aizvariem pieplūdē un nosūcē ar el.izpildmehānismiem NM24 un automātiskās vadības bloku C5.1.</t>
  </si>
  <si>
    <t>Ventilācijas gaisa apstrādes agregāts (svars 195kg)  iekštelpu izpildījumā ar ventilatoru pieplūdē (ar frekvenču pārveidotājiem) L=785 m3/h; P=150 Pa; ar ūdens kaloriferi Q=11,13 kW; gaisa filtriem F7 un automātiskās vadības bloku C5.1.</t>
  </si>
  <si>
    <t>PPU-HW-3R-15-1,6-W2</t>
  </si>
  <si>
    <t>PPU-HW-3R-20-4,0-W2</t>
  </si>
  <si>
    <t>PPU-HW-3R-15-1,0-W2</t>
  </si>
  <si>
    <t>Šunta mezgls ar cirkulācijas sūkni, trīsgaitu vārstu komplektā ar elektromotora izpildmehānismu</t>
  </si>
  <si>
    <t>Ventilācijas iekārtas montāžas rāmis ar regulēšanas kājām</t>
  </si>
  <si>
    <t>SSK-11.001 A</t>
  </si>
  <si>
    <t>SSK-10.001 A</t>
  </si>
  <si>
    <t>SSK-12.001 A</t>
  </si>
  <si>
    <t>Komfovent</t>
  </si>
  <si>
    <t>Ventilācijas gaisa apstrādes agregātu elektroinstalācija, palaišana un regulēšana.</t>
  </si>
  <si>
    <t>VENTILĀCIJAS GAISA APSTRĀDES AGREGĀTI un GAISA NOSŪCES SISTĒMU VENTILATORI</t>
  </si>
  <si>
    <t>Gaisa nosūces ventilatoru elektroinstalācija</t>
  </si>
  <si>
    <t xml:space="preserve">      N15       S &amp; P</t>
  </si>
  <si>
    <t xml:space="preserve">      N14       S &amp; P</t>
  </si>
  <si>
    <r>
      <t>Kanāla tipa ventilators L=365 m</t>
    </r>
    <r>
      <rPr>
        <vertAlign val="superscript"/>
        <sz val="10"/>
        <rFont val="Tahoma"/>
        <family val="2"/>
        <charset val="186"/>
      </rPr>
      <t>3</t>
    </r>
    <r>
      <rPr>
        <sz val="10"/>
        <rFont val="Tahoma"/>
        <family val="2"/>
        <charset val="186"/>
      </rPr>
      <t>/h, P=160 Pa</t>
    </r>
  </si>
  <si>
    <t>MIXVENT TD-500/160</t>
  </si>
  <si>
    <t>MIXVENT TD-250/100</t>
  </si>
  <si>
    <r>
      <t>Kanāla tipa ventilators L=100 m</t>
    </r>
    <r>
      <rPr>
        <vertAlign val="superscript"/>
        <sz val="10"/>
        <rFont val="Tahoma"/>
        <family val="2"/>
        <charset val="186"/>
      </rPr>
      <t>3</t>
    </r>
    <r>
      <rPr>
        <sz val="10"/>
        <rFont val="Tahoma"/>
        <family val="2"/>
        <charset val="186"/>
      </rPr>
      <t>/h, P=90 Pa</t>
    </r>
  </si>
  <si>
    <t>DECOR-100-CR</t>
  </si>
  <si>
    <r>
      <t>Sadzīves tipa ventilators L=50 m</t>
    </r>
    <r>
      <rPr>
        <vertAlign val="superscript"/>
        <sz val="10"/>
        <rFont val="Tahoma"/>
        <family val="2"/>
        <charset val="186"/>
      </rPr>
      <t>3</t>
    </r>
    <r>
      <rPr>
        <sz val="10"/>
        <rFont val="Tahoma"/>
        <family val="2"/>
        <charset val="186"/>
      </rPr>
      <t>h, P=25 Pa, ar iebūvētu laika releju un pieslēgumu telpas apgaismojuma slēdzim</t>
    </r>
  </si>
  <si>
    <t>VENTILĀCIJAS SISTĒMU MONTĀŽAS ELEMENTI</t>
  </si>
  <si>
    <t>Amalva</t>
  </si>
  <si>
    <t>AGS-250-50-1200-M</t>
  </si>
  <si>
    <t>UVA60-250-70</t>
  </si>
  <si>
    <t>Dekoratīvas nosūces restītes (balts) ar montāžas rāmi un gaisa plūsmas regulējošu vārstu</t>
  </si>
  <si>
    <t>Halton</t>
  </si>
  <si>
    <t>AGC-200x100</t>
  </si>
  <si>
    <t>Dekoratīvas pieplūdes restītes (balts) ar montāžas rāmi un gaisa plūsmas regulējošu vārstu</t>
  </si>
  <si>
    <t>WTS-300x100</t>
  </si>
  <si>
    <t>WTS-200x100</t>
  </si>
  <si>
    <t>Gaisa pretplūsmas vārsts</t>
  </si>
  <si>
    <t>RSK-250</t>
  </si>
  <si>
    <t>Cinkota skārda gaisa vadi "Spiro" ar montāžas un savienojuma veidgabaliem</t>
  </si>
  <si>
    <t>200x100</t>
  </si>
  <si>
    <t>300x100</t>
  </si>
  <si>
    <t>Cinkota skārda gaisa vadi ar atlokiem un veidgabaliem savienojumam ar blīvgumiju</t>
  </si>
  <si>
    <t>SPS-400-250-1250-M</t>
  </si>
  <si>
    <t>UVS60-400x300-70</t>
  </si>
  <si>
    <t>Gaisa pieplūdes ventilis ar montāžas gredzenu</t>
  </si>
  <si>
    <t>DVS-P-100</t>
  </si>
  <si>
    <t>Gaisa pieplūdes ventilis ar trokšņu slāpējošu šķīvi un montāžas gredzenu</t>
  </si>
  <si>
    <t>ULA-100</t>
  </si>
  <si>
    <t>Gaisa nosūces ventilis ar montāžas gredzenu</t>
  </si>
  <si>
    <t>DVS-100</t>
  </si>
  <si>
    <t>DVS-125</t>
  </si>
  <si>
    <t>RSK-315</t>
  </si>
  <si>
    <t>Gaisa regulēšanas vārsts</t>
  </si>
  <si>
    <t>AGRJ-R-100</t>
  </si>
  <si>
    <t>AGRJ-R-125</t>
  </si>
  <si>
    <t>Gaisa regulēšanas tampons</t>
  </si>
  <si>
    <t>INNO-100-RP</t>
  </si>
  <si>
    <t>KVF-M 1600-1700-400</t>
  </si>
  <si>
    <t>Nerūsējoša skārda ar abiem slēgtiem galiem tvaiku nosūce - gaisa pieplūdes kape ar taukvielu uztveršanas filtriem un iebūvētu "Capture Jet" recirkulācijas ventilatoru</t>
  </si>
  <si>
    <t>Gaisa vadu izolācija ar puscietu akmens vati b=50mm biezumā pārklātu ar armētu alumīnija foliju</t>
  </si>
  <si>
    <t>MAT 35ALC</t>
  </si>
  <si>
    <t>PAROC</t>
  </si>
  <si>
    <t>AGC-300x100</t>
  </si>
  <si>
    <t>DVS-P-125</t>
  </si>
  <si>
    <t>AGRJ-R-200</t>
  </si>
  <si>
    <t>AGRJ-R-160</t>
  </si>
  <si>
    <t>UVA60-200-70</t>
  </si>
  <si>
    <t>SPS-400-300-1250-M</t>
  </si>
  <si>
    <t>SPS-400-250-650-M</t>
  </si>
  <si>
    <t>UVS60-400x200-70</t>
  </si>
  <si>
    <t>SRC-R-250x200</t>
  </si>
  <si>
    <t>Āra gaisa ieņemšanas pretlietus žalūziju reste ar aizsargsietu un montāžas rāmi</t>
  </si>
  <si>
    <t>USS-400x400</t>
  </si>
  <si>
    <t>USS-400x500</t>
  </si>
  <si>
    <t>Gaisa vada pretlietus jumtiņš ar aizsargsietu</t>
  </si>
  <si>
    <t>SHIP 400x250</t>
  </si>
  <si>
    <t>ULA-125</t>
  </si>
  <si>
    <t>SPS-400-250-950-M</t>
  </si>
  <si>
    <t>AVGS-315-100-1200-M</t>
  </si>
  <si>
    <t>Trokšņu slāpētājs ar starpsienu</t>
  </si>
  <si>
    <t>WTS-400x150</t>
  </si>
  <si>
    <t>AGC-400x150</t>
  </si>
  <si>
    <t>UVS60-300x200-70</t>
  </si>
  <si>
    <t>Gaisa ieņemšanas un izmešanas kolektori</t>
  </si>
  <si>
    <t>UVA60-100-70</t>
  </si>
  <si>
    <t>UVA60-160-70</t>
  </si>
  <si>
    <t>AHIP-160</t>
  </si>
  <si>
    <t>AGS-160-50-1200-M</t>
  </si>
  <si>
    <t>RSK-160</t>
  </si>
  <si>
    <t>AHIP-100</t>
  </si>
  <si>
    <t>AGS-100-50-600-M</t>
  </si>
  <si>
    <t>RSK-100</t>
  </si>
  <si>
    <t>300x150</t>
  </si>
  <si>
    <t>300x250</t>
  </si>
  <si>
    <t>400x300</t>
  </si>
  <si>
    <t>500x200</t>
  </si>
  <si>
    <t>300x200</t>
  </si>
  <si>
    <t>250x200</t>
  </si>
  <si>
    <t>200x150</t>
  </si>
  <si>
    <t>400x150</t>
  </si>
  <si>
    <t>Gaisa vadu izolācija ar puscietu akmens vati b=100mm biezumā pārklātu ar armētu alumīnija foliju</t>
  </si>
  <si>
    <t>USS 1000x700</t>
  </si>
  <si>
    <t>USS 1100x700</t>
  </si>
  <si>
    <t>600x500</t>
  </si>
  <si>
    <t>1000x400</t>
  </si>
  <si>
    <t>Cinkota skārda gaisa vadi ar atlokiem un veidgabaliem savienojumam ar blīvgumiju, (abi gali slēgti)</t>
  </si>
  <si>
    <t>1000x700</t>
  </si>
  <si>
    <t>1100x700</t>
  </si>
  <si>
    <t>Gaisa vadu izolācija ar ugunsdrošu akmens vati b=50mm biezumā pārklātu ar armētu alumīnija foliju metāla sieta apvalkā</t>
  </si>
  <si>
    <t>WM80ALC</t>
  </si>
  <si>
    <t>Gaisa pieplūdes-nosūces iekārtas</t>
  </si>
  <si>
    <r>
      <t xml:space="preserve">FRESH 100, </t>
    </r>
    <r>
      <rPr>
        <sz val="10"/>
        <rFont val="Calibri"/>
        <family val="2"/>
        <charset val="186"/>
      </rPr>
      <t>ø</t>
    </r>
    <r>
      <rPr>
        <sz val="10"/>
        <rFont val="Tahoma"/>
        <family val="2"/>
        <charset val="186"/>
      </rPr>
      <t>102mm</t>
    </r>
  </si>
  <si>
    <t>Fresh Ventilation</t>
  </si>
  <si>
    <t>Caurumu izveidošana un aizdarināšana betona pamatu konstrukcijās "Fresh" montāžai</t>
  </si>
  <si>
    <t>Gaisa vadu līdz perimetram P=0,8 m demontāža</t>
  </si>
  <si>
    <t>Gaisa vadu līdz perimetram P=1,6 m demontāža</t>
  </si>
  <si>
    <t>Gaisa vadu līdz perimetram P=2,0 m demontāža</t>
  </si>
  <si>
    <t>Precizēt uz vietas</t>
  </si>
  <si>
    <t>AGS-250-50-600-M</t>
  </si>
  <si>
    <t xml:space="preserve">      N16       S &amp; P</t>
  </si>
  <si>
    <t>IEKĀRTU UN MATERIĀLU SPECIFIKĀCIJA VENTILĀCIJAS SISTĒMĀM</t>
  </si>
  <si>
    <t>ESOŠO APKURES UN VENTILĀCIJAS SISTĒMU DEMONTĀŽAS DARBI</t>
  </si>
  <si>
    <t>Skārda gaisa vadi</t>
  </si>
  <si>
    <t>IEKĀRTU UN MATERIĀLU SPECIFIKĀCIJA GRĪDU APSILDES SISTĒMAI</t>
  </si>
  <si>
    <t>IEKĀRTU UN MATERIĀLU SPECIFIKĀCIJA SILTĀ ŪDENS BOILERU SILTUMAPGĀDES SISTĒMAI</t>
  </si>
  <si>
    <t>IEKĀRTU UN MATERIĀLU SPECIFIKĀCIJA VENTILĀCIJAS KALORIFERU SILTUMAPGĀDES SISTĒMAI</t>
  </si>
  <si>
    <t>IEKĀRTU UN MATERIĀLU SPECIFIKĀCIJA RADIATORU APKURES SISTĒMAI</t>
  </si>
  <si>
    <t>GRĪDU APSILDES SILTUMAPGĀDES SISTĒMA</t>
  </si>
  <si>
    <t>Lodveida noslēgventilis</t>
  </si>
  <si>
    <t>DN32</t>
  </si>
  <si>
    <t>DN15</t>
  </si>
  <si>
    <t>DN20</t>
  </si>
  <si>
    <t>DN25</t>
  </si>
  <si>
    <t>ARMAFLEX</t>
  </si>
  <si>
    <t>GRĪDU APSILDES KOLEKTORU SISTĒMA</t>
  </si>
  <si>
    <t>Lodveida ventilis</t>
  </si>
  <si>
    <t>Zemgrīdas apkures sistēmas automātiskās vadības bloks ar āra gaisa termosensorU</t>
  </si>
  <si>
    <t>UPONOR I-76</t>
  </si>
  <si>
    <t>Uponor</t>
  </si>
  <si>
    <t>Bezvadu savienojumu modulis</t>
  </si>
  <si>
    <t>C-56</t>
  </si>
  <si>
    <t>Uponor termostats ar displeju, bezvadu</t>
  </si>
  <si>
    <t>T-75</t>
  </si>
  <si>
    <t>Uponor grīdas sensors ar 4,0m garu kabeli</t>
  </si>
  <si>
    <t>Uponor izpildmehānisms 24V (vai 230V)</t>
  </si>
  <si>
    <t>Automātiskās vadības bloku elektroinstalācija</t>
  </si>
  <si>
    <t>Apkures sistēmas regulēšana</t>
  </si>
  <si>
    <t>Automātiskā atgaisotāja un tukšošanas ventiļa mezgls grīdu apsildes sadales kolektoriem</t>
  </si>
  <si>
    <t>Spiediena krituma vizuālās kontroles kapsula-plūsmas mērītājs 0-4 l/s</t>
  </si>
  <si>
    <t>Sadalošā kolektora iebūvējams montāžas skapītis ar izmēru 705x160</t>
  </si>
  <si>
    <t>UPONOR Vario NT 705x160</t>
  </si>
  <si>
    <t>Tērauda apvalka caurules c-du izvadiem sienās un starpstāvu pārsegumos</t>
  </si>
  <si>
    <t>m2</t>
  </si>
  <si>
    <t>Termošuves betona grīdai</t>
  </si>
  <si>
    <t>Stiprinājuma kronšteini un stiprinājumu skavas</t>
  </si>
  <si>
    <t>Caurumu izveidošana un aizdarināšana starpstāvu pārsegumos cauruļvadu montāžai</t>
  </si>
  <si>
    <t>Presējamas cinkotas tērauda apkures sistēmu caurules d=15x1,2</t>
  </si>
  <si>
    <t>Presējamas cinkotas tērauda apkures sistēmu caurules d=18x1,2</t>
  </si>
  <si>
    <t>Presējamas cinkotas tērauda apkures sistēmu caurules d=22x1,5</t>
  </si>
  <si>
    <t>Presējamas cinkotas tērauda apkures sistēmu caurules d=28x1,5</t>
  </si>
  <si>
    <t>Presējamas cinkotas tērauda apkures sistēmu caurules d=35x1,5</t>
  </si>
  <si>
    <t>Presējamo cinkoto tērauda cauruļu savienojumu veidgabali</t>
  </si>
  <si>
    <t>Presējamo cinkoto tērauda cauruļu montāžas palīglīdzekļi</t>
  </si>
  <si>
    <t>Presējamas cinkotas tērauda apkures sistēmu caurules d=42x1,5</t>
  </si>
  <si>
    <t>Presējamas cinkotas tērauda apkures sistēmu caurules d=54x1,5</t>
  </si>
  <si>
    <t>Modelis 1103 d=18x1,2</t>
  </si>
  <si>
    <t>Modelis 1103 d=15x1,2</t>
  </si>
  <si>
    <t>Modelis 1103 d=22x1,5</t>
  </si>
  <si>
    <t>VIEGA PRESTABO</t>
  </si>
  <si>
    <t>Modelis 1103 d=28x1,5</t>
  </si>
  <si>
    <t>Modelis 1103 d=35x1,5</t>
  </si>
  <si>
    <t>Modelis 1103</t>
  </si>
  <si>
    <t>UPONOR</t>
  </si>
  <si>
    <t>d=16x2,0</t>
  </si>
  <si>
    <t>Daudzslāņu lokanās caurules ruļļos</t>
  </si>
  <si>
    <t>d=20x2,25</t>
  </si>
  <si>
    <t>d=17x2,0</t>
  </si>
  <si>
    <t>Daudzslāņu cauruļu montāžas palīglīdzekļi</t>
  </si>
  <si>
    <t>Daudzslāņu cauruļu pievienojumu veidgabali</t>
  </si>
  <si>
    <t>Modelis 1103 d=42x1,5</t>
  </si>
  <si>
    <t>Modelis 1103 d=54x1,5</t>
  </si>
  <si>
    <t>SH/Armaflex             SH-10x018</t>
  </si>
  <si>
    <t>Siltuma izolācija cauruļvadam d=16x2,0 grīdas konstrukcijā</t>
  </si>
  <si>
    <t>Siltuma izolācija cauruļvadam d=17x2,0 grīdas konstrukcijā</t>
  </si>
  <si>
    <t>Siltuma izolācija cauruļvadam d=20x2,0 grīdas konstrukcijā</t>
  </si>
  <si>
    <t>SH/Armaflex             SH-10x020</t>
  </si>
  <si>
    <t>Stiprinājuma kronšteini tērauda caurulēm</t>
  </si>
  <si>
    <t>DN65</t>
  </si>
  <si>
    <t>DN80</t>
  </si>
  <si>
    <t>sk.SM daļu</t>
  </si>
  <si>
    <t>Sūkņu sajaukšanas mezgls ar termoregulēšanas vadības bloku</t>
  </si>
  <si>
    <t>Oponor nerūsējošā dērauda sadalītājs ar plūsmas mērītāju ligzdām 5 darba līnijām</t>
  </si>
  <si>
    <t>Oponor nerūsējošā dērauda sadalītājs ar plūsmas mērītāju ligzdām 6 darba līnijām</t>
  </si>
  <si>
    <t>"Uponor Siccus 14" siltumizstarojoša alumīnija  plāksne ar izmēru 1180x120mm</t>
  </si>
  <si>
    <t>"Siccus Line" grīdas apkures cauruļvadu stiprināšanas siltumizolācijas plāksne ar izmēru 1197x1050x25mm (pagraba stāva grīdās)</t>
  </si>
  <si>
    <t>rullis</t>
  </si>
  <si>
    <t>"Uponor Tacker" ruļveida izolācija ar pārklājumu Extra EPS DES 30-3mm ar izmēru rullim 10,0m x 1000mm x 30mm (1. un 2. stāva grīdām)</t>
  </si>
  <si>
    <t>Uponor Fix stiprinājuma sliede 14-20mm c/c50mm ar garumu 1,0m</t>
  </si>
  <si>
    <t>Uponor Multi sienas apmales lenta PE 50m 150x8mm</t>
  </si>
  <si>
    <t>Uponor Multi termošuves profils 1800x100x10mm</t>
  </si>
  <si>
    <t>Uponor Multi cauruļu aizsargčaula max 20mm 300x5mm</t>
  </si>
  <si>
    <t>Tērauda apvalka caurules c-du izvadiem sienu šķērsošanas vietās</t>
  </si>
  <si>
    <t>sk.BK daļu</t>
  </si>
  <si>
    <t>Ūdens kaloriferis apaļa gaisa vada pievienojumam</t>
  </si>
  <si>
    <t>VEAB</t>
  </si>
  <si>
    <t>CWW 125-3-2,5</t>
  </si>
  <si>
    <t xml:space="preserve">Sadzīves tipa ventilators </t>
  </si>
  <si>
    <t>DECOR-125-C</t>
  </si>
  <si>
    <t>S &amp; P</t>
  </si>
  <si>
    <t>Sadzīves tipa ventilatora elektroinstalācija ar ieslēgšanas slēdzi</t>
  </si>
  <si>
    <t>Drēbju žāvēšanas skapim</t>
  </si>
  <si>
    <t>Automātiskais atgaisotājs</t>
  </si>
  <si>
    <t>Cauruļvadu stiprinājumu kronšteini</t>
  </si>
  <si>
    <t>Caurumu izveidošana un aizdarināšana betona pamatu bloku starpsienās cauruļvadu montāžai</t>
  </si>
  <si>
    <t>Esošo apkures sistēmu demontāža</t>
  </si>
  <si>
    <t>Esošo apkures sistēmas tērauda cauruļvadu ar diametru līdz DN25 demontāža</t>
  </si>
  <si>
    <t>Esošo apkures sistēmas tērauda cauruļvadu ar diametru līdz DN50 demontāža</t>
  </si>
  <si>
    <t>Esošo čuguna radiatoru ar svaru līdz 100kg demontāža</t>
  </si>
  <si>
    <t>Esošo čuguna radiatoru ar svaru līdz 150kg demontāža</t>
  </si>
  <si>
    <t>Esošo čuguna radiatoru ar svaru līdz 200kg demontāža</t>
  </si>
  <si>
    <t>Esošo čuguna radiatoru ar svaru virs 200kg demontāža</t>
  </si>
  <si>
    <t>Esošo tērauda radiatoru ar svaru līdz 100kg demontāža</t>
  </si>
  <si>
    <t>Esošo tērauda radiatoru ar svaru līdz 50kg demontāža</t>
  </si>
  <si>
    <t>Esošo čuguna radiatoru ar svaru līdz 50kg demontāža</t>
  </si>
  <si>
    <t>Esošās katlu mājas demontāža</t>
  </si>
  <si>
    <t>Esošo apkures sistēmas daudzslāņu cauruļvadu ar diametru līdz DN25 demontāža</t>
  </si>
  <si>
    <t>Esošā tērauda malkas apkures katla ar svaru līdz 3000 kg demontāža</t>
  </si>
  <si>
    <t>Esošo apkures sistēmas tērauda cauruļvadu ar diametru līdz DN100 demontāža</t>
  </si>
  <si>
    <t>Kaloriferu siltumapgādes šuntu mezgli</t>
  </si>
  <si>
    <t>skatīt ventilācijas sistēmu specifikāciju</t>
  </si>
  <si>
    <t>Siltuma izolācijas "Paroc" akmens vates čaulas ar biezumu 30mm un alumīnija folija pārklājumu</t>
  </si>
  <si>
    <t>PHSALCT       22-30</t>
  </si>
  <si>
    <t>PHSALCT       28-30</t>
  </si>
  <si>
    <t>PHSALCT       35-30</t>
  </si>
  <si>
    <t>PHSALCT       42-30</t>
  </si>
  <si>
    <t>PHSALCT       15-30</t>
  </si>
  <si>
    <t>PHSALCT       18-30</t>
  </si>
  <si>
    <t>PHSALCT       54-30</t>
  </si>
  <si>
    <t>Caurumu izveidošana un aizdarināšana mūra sienās cauruļvadu montāžai</t>
  </si>
  <si>
    <t>DN100</t>
  </si>
  <si>
    <t>Radiators "PURMO COMPACT" komplektā ar stiprinājumiem un atgaisošanas korķi</t>
  </si>
  <si>
    <t>PC11-300-400</t>
  </si>
  <si>
    <t>Purmo</t>
  </si>
  <si>
    <t>PC11-300-600</t>
  </si>
  <si>
    <t>Apkures sistēmas ieregulēšana un balansēšana</t>
  </si>
  <si>
    <t>Apkures sistēmas radiatoru apkures funkciju regulēšana</t>
  </si>
  <si>
    <t>Caurumu izveidošana un aizdarināšana ēkas konstrukcijās cauruļvadu montāžai</t>
  </si>
  <si>
    <t>Tērauda apvalka caurules cauruļvadu montāžai caur būvkonstrukcijām</t>
  </si>
  <si>
    <t>Ugunsdrošas putas cauruļvadu montāžas vietu blīvēšanai būvkostrukciju šķērsošanas vietās</t>
  </si>
  <si>
    <t>PHSALCT 18-30</t>
  </si>
  <si>
    <t>PC11-300-500</t>
  </si>
  <si>
    <t>PC11-300-700</t>
  </si>
  <si>
    <t>CV11-500-500</t>
  </si>
  <si>
    <t>CV11-300-800</t>
  </si>
  <si>
    <t>CV11-300-900</t>
  </si>
  <si>
    <t>CV11-300-1000</t>
  </si>
  <si>
    <t>CV11-300-1400</t>
  </si>
  <si>
    <t>CV22-300-500</t>
  </si>
  <si>
    <t>CV22-300-600</t>
  </si>
  <si>
    <t>CV22-300-700</t>
  </si>
  <si>
    <t>CV22-300-800</t>
  </si>
  <si>
    <t>CV22-300-1000</t>
  </si>
  <si>
    <t>CV22-300-1100</t>
  </si>
  <si>
    <t>CV22-300-1200</t>
  </si>
  <si>
    <t>CV22-300-1400</t>
  </si>
  <si>
    <t>CV22-300-1600</t>
  </si>
  <si>
    <t>CV22-500-1000</t>
  </si>
  <si>
    <t>FCV11-300-400</t>
  </si>
  <si>
    <t>FCV11-300-600</t>
  </si>
  <si>
    <t>FCV11-300-800</t>
  </si>
  <si>
    <t>FCV11-300-900</t>
  </si>
  <si>
    <t>FCV11-300-1000</t>
  </si>
  <si>
    <t>FCV11-300-1100</t>
  </si>
  <si>
    <t>FCV22-300-1200</t>
  </si>
  <si>
    <t>FCV22-300-1400</t>
  </si>
  <si>
    <t>Radiators "PURMO VENTIL COMPACT" komplektā ar iebūvētu termostata ieliktni ar iepriekšējas regulēšanas mehānismu, ar stiprinājumiem un atgaisošanas korķi</t>
  </si>
  <si>
    <t>Radiators "PURMO PLAN VENTIL COMPACT" komplektā ar iebūvētu termostata ieliktni ar iepriekšējas regulēšanas mehānismu, ar stiprinājumiem un atgaisošanas korķi</t>
  </si>
  <si>
    <t>Iebūvēts termostata vārsts ar temperatūras ierobežošanas funkciju DN15</t>
  </si>
  <si>
    <t>TRV</t>
  </si>
  <si>
    <t>komplektā ar radiatoru</t>
  </si>
  <si>
    <t>Termostats "RAX" ar telpas temperatūras kontroli, balts RAL 9016</t>
  </si>
  <si>
    <t>RAX              (kods 013G6070)</t>
  </si>
  <si>
    <t>DANFOS</t>
  </si>
  <si>
    <t>H-veida taisnais radiatoru noslēgvārsts radiatoriem ar iebūvēto vārstu</t>
  </si>
  <si>
    <t>RLV-KS        (kods 003L0221)</t>
  </si>
  <si>
    <t>Taisnais termoregulējošais vārsts</t>
  </si>
  <si>
    <t>RA-N 15       (kods 013G0014)</t>
  </si>
  <si>
    <t>Taisnais noslēgvārsts pie radiatora 1/2" ar noteces pievienošanas iespēju</t>
  </si>
  <si>
    <t>RLV-15   (kods 003L0144)</t>
  </si>
  <si>
    <t>Automātiskais balansēšanas vārsts 2-cauruļu sistēmai ar 1,5 m kapilāru caurulīti</t>
  </si>
  <si>
    <t>ASV-PV 15              (kods 003L7601)</t>
  </si>
  <si>
    <t>Noslēgventilis ASV-M</t>
  </si>
  <si>
    <t>ASV-M 15        (kods 003L7681)</t>
  </si>
  <si>
    <t>ASV-PV 20              (kods 003L7601)</t>
  </si>
  <si>
    <t>ASV-M 20        (kods 003L7681)</t>
  </si>
  <si>
    <t>ASV-PV 25              (kods 003L7601)</t>
  </si>
  <si>
    <t>ASV-M 25        (kods 003L7681)</t>
  </si>
  <si>
    <t>PHSALCT 15-30</t>
  </si>
  <si>
    <t>PHSALCT 22-30</t>
  </si>
  <si>
    <t>PHSALCT 28-30</t>
  </si>
  <si>
    <t>PHSALCT 35-30</t>
  </si>
  <si>
    <t>PHSALCT 42-30</t>
  </si>
  <si>
    <t>DN50</t>
  </si>
  <si>
    <t>IEKĀRTU UN MATERIĀLU SPECIFIKĀCIJA SILTUMMEZGLA REKONSTRUKCIJAI</t>
  </si>
  <si>
    <t>Ūdens termosensors</t>
  </si>
  <si>
    <t>Automātiskās vadības bloks ar āra gaisa sensoru un 9 signāla pievienojumiem</t>
  </si>
  <si>
    <t>ESM-11</t>
  </si>
  <si>
    <t>Āra gaisa termosensors</t>
  </si>
  <si>
    <t>ESMT</t>
  </si>
  <si>
    <t>Automātiskās vadības bloku ECL Comfort elektroinstalācija</t>
  </si>
  <si>
    <t>Plākšņu siltummaiņa XB 06L-1 siltināts apvalks</t>
  </si>
  <si>
    <t>Plākšņu siltummaiņa XB 12L-1 siltināts apvalks</t>
  </si>
  <si>
    <t>Plākšņu siltummaiņa XB 06L-1 rāmis montāžai uz grīdas</t>
  </si>
  <si>
    <t>Plākšņu siltummaiņa XB 12L-1 montāžai uz grīdas</t>
  </si>
  <si>
    <t>GRUNDFOS</t>
  </si>
  <si>
    <t>ALPHA2 25-60 130 50 Hz</t>
  </si>
  <si>
    <t>Siltumapgādes sistēmas cirkulācijas sūkņu elektroinstalācijas montāža</t>
  </si>
  <si>
    <t>Siltumapgādes sistēmas cirkulācijas sūkņu ieregulēšana un palaišana darbībā</t>
  </si>
  <si>
    <t>R217 ar NR24-SR</t>
  </si>
  <si>
    <t>BELIMO</t>
  </si>
  <si>
    <t>ZENNER</t>
  </si>
  <si>
    <t>REFLEX</t>
  </si>
  <si>
    <t>Izplešanās trauks ar membrānu V=35 l</t>
  </si>
  <si>
    <t>DN=20</t>
  </si>
  <si>
    <t>DN=25</t>
  </si>
  <si>
    <t>DN=32</t>
  </si>
  <si>
    <t>NAVAL</t>
  </si>
  <si>
    <t>DN=50</t>
  </si>
  <si>
    <t>DN=15</t>
  </si>
  <si>
    <t>Vienvirziena vārsts</t>
  </si>
  <si>
    <t>Vienvirziena vārsts ar atlokiem</t>
  </si>
  <si>
    <t>Filtrs ar atlokiem, P=16 bar</t>
  </si>
  <si>
    <t>Filtrs; P=10 bar</t>
  </si>
  <si>
    <t>Atgaisošanas ventilis d=15</t>
  </si>
  <si>
    <t>Automātiskais atgaisotājs d=15</t>
  </si>
  <si>
    <t>Tukšošanas ventilis</t>
  </si>
  <si>
    <t>Manometrs 0~6 bar</t>
  </si>
  <si>
    <t>Manometrs 0~16 bar</t>
  </si>
  <si>
    <t>Manometra noslēgvārsts P=16 bar</t>
  </si>
  <si>
    <t>Tērauda melnās ūdens-gāzes caurules</t>
  </si>
  <si>
    <t>d=60,3x2,9</t>
  </si>
  <si>
    <t>Tērauda atloki</t>
  </si>
  <si>
    <t>DN=40</t>
  </si>
  <si>
    <t>Siltuma izolācija "PAROC" ar alumīnija folija pārklājumu d=18; b=30mm</t>
  </si>
  <si>
    <t>PHSALCT</t>
  </si>
  <si>
    <t>Siltuma izolācija čaulas "PAROC" ar alumīnija folija pārklājumu d=22; b=30mm</t>
  </si>
  <si>
    <t>PSALCT</t>
  </si>
  <si>
    <t>Siltuma izolācija "PAROC" ar alumīnija folija pārklājumu d=28; b=30mm</t>
  </si>
  <si>
    <t>Siltuma izolācija "PAROC" ar alumīnija folija pārklājumu d=35; b=30mm</t>
  </si>
  <si>
    <t>Siltuma izolācija "PAROC" ar alumīnija folija pārklājumu d=49; b=30mm</t>
  </si>
  <si>
    <t>Siltuma izolācija "PAROC" ar alumīnija folija pārklājumu d=60; b=30mm</t>
  </si>
  <si>
    <t>Polivinilhlorīda loksņu aptinums ar gala noslēgapdarēm</t>
  </si>
  <si>
    <t>PVC</t>
  </si>
  <si>
    <t>Stiprinājuma kronšteini cauruļvadiem</t>
  </si>
  <si>
    <t>Metināšanas palīgmateriāli un gāze</t>
  </si>
  <si>
    <t>Vītņu savienojumu montāžas palīgmateriāli</t>
  </si>
  <si>
    <t>"DANFOS"</t>
  </si>
  <si>
    <r>
      <t>Plūsmas mērītājs G=6,0 m</t>
    </r>
    <r>
      <rPr>
        <vertAlign val="superscript"/>
        <sz val="10"/>
        <color indexed="8"/>
        <rFont val="Arial"/>
        <family val="2"/>
        <charset val="204"/>
      </rPr>
      <t>3</t>
    </r>
    <r>
      <rPr>
        <sz val="10"/>
        <color indexed="8"/>
        <rFont val="Arial"/>
        <family val="2"/>
        <charset val="204"/>
      </rPr>
      <t>/h</t>
    </r>
  </si>
  <si>
    <r>
      <t>Karstā ūdens patēriņa skaitītājs DN=15, Gnom.=1,5 m</t>
    </r>
    <r>
      <rPr>
        <vertAlign val="superscript"/>
        <sz val="10"/>
        <rFont val="Arial"/>
        <family val="2"/>
        <charset val="204"/>
      </rPr>
      <t>3</t>
    </r>
    <r>
      <rPr>
        <sz val="10"/>
        <rFont val="Arial"/>
        <family val="2"/>
        <charset val="204"/>
      </rPr>
      <t>/h; Gmin.=30l/h</t>
    </r>
  </si>
  <si>
    <t>"Zenner MTW-1" DN=15</t>
  </si>
  <si>
    <t>"REFLEX-NG" V=35 l</t>
  </si>
  <si>
    <r>
      <t>Termometrs 0 ~ 100 C</t>
    </r>
    <r>
      <rPr>
        <vertAlign val="superscript"/>
        <sz val="10"/>
        <rFont val="Arial"/>
        <family val="2"/>
        <charset val="204"/>
      </rPr>
      <t>0</t>
    </r>
    <r>
      <rPr>
        <sz val="10"/>
        <rFont val="Arial"/>
        <family val="2"/>
        <charset val="204"/>
      </rPr>
      <t xml:space="preserve"> apvalka čaulā ar ieliekamo detaļu</t>
    </r>
  </si>
  <si>
    <r>
      <t>Spirta termometrs 0 ~ 100 C</t>
    </r>
    <r>
      <rPr>
        <vertAlign val="superscript"/>
        <sz val="10"/>
        <rFont val="Arial"/>
        <family val="2"/>
        <charset val="204"/>
      </rPr>
      <t>0</t>
    </r>
    <r>
      <rPr>
        <sz val="10"/>
        <rFont val="Arial"/>
        <family val="2"/>
        <charset val="204"/>
      </rPr>
      <t xml:space="preserve"> apvalka čaulā ar ieliekamo detaļu</t>
    </r>
  </si>
  <si>
    <r>
      <t>m</t>
    </r>
    <r>
      <rPr>
        <vertAlign val="superscript"/>
        <sz val="10"/>
        <rFont val="Arial"/>
        <family val="2"/>
        <charset val="204"/>
      </rPr>
      <t>2</t>
    </r>
  </si>
  <si>
    <t xml:space="preserve">Esošs siltuma skaitītājs </t>
  </si>
  <si>
    <t>saglabājams</t>
  </si>
  <si>
    <t>Kamstrup                   "Ultraflow 54" DN32</t>
  </si>
  <si>
    <t>"DANFOS" (paredzams jauns)</t>
  </si>
  <si>
    <t>Esošā siltuma skaitītāja demontāža un montāža no jauna jaunā vietā ar elektroinstalāciju</t>
  </si>
  <si>
    <t>Spiediena starpības regulators ar regulēšanas vārstu  PN25, DN25, Kvs=8,0, ΔP=0,3-2,0 bar, ar impulsa caurulīti un noslēgventiļiem</t>
  </si>
  <si>
    <t>AVP DN25; Kvs=8,0; ΔP=0,3-2,0 bar</t>
  </si>
  <si>
    <t>ECL Comfort 210 (A260,1) 24V</t>
  </si>
  <si>
    <t>Lodēts plākšņu siltummainis radiatoru apkures siltumapgādes sistēmai; Q=38,34 kW</t>
  </si>
  <si>
    <t>XB 06L-1-36</t>
  </si>
  <si>
    <t>Lodēts plākšņu siltummainis kaloriferu siltumapgādes sistēmai; Q=55,41 kW</t>
  </si>
  <si>
    <t>XB 37L-1-26 G 1 (50mm)</t>
  </si>
  <si>
    <t>Lodēts plākšņu siltummainis grīdu apsildes siltuma apgādes sistēmas ūdens sagatavošanai Q= 23,0 kW</t>
  </si>
  <si>
    <t>XB 12 L-1-50 G 5/4 (25mm()</t>
  </si>
  <si>
    <t>Lodēts plākšņu siltummainis siltā ūdens boileru siltumapgādes sistēmas ūdens sagatavošanai; Q=40,8 kW</t>
  </si>
  <si>
    <t>XB 37M-1-30 G 1 (20mm)</t>
  </si>
  <si>
    <t>Plākšņu siltummaiņa XB 37L-1 siltināts apvalks</t>
  </si>
  <si>
    <t>Plākšņu siltummaiņa XB 37M-1 siltināts apvalks</t>
  </si>
  <si>
    <t>Plākšņu siltummaiņa XB 37L-1 montāžai uz grīdas</t>
  </si>
  <si>
    <t>Plākšņu siltummaiņa XB 37M-1 montāžai uz grīdas</t>
  </si>
  <si>
    <r>
      <t>Radiatoru apkures siltumapgādes sistēmas tīkla cirkulācijas sūknis; G=1,647 m</t>
    </r>
    <r>
      <rPr>
        <vertAlign val="superscript"/>
        <sz val="10"/>
        <rFont val="Arial"/>
        <family val="2"/>
        <charset val="204"/>
      </rPr>
      <t>3</t>
    </r>
    <r>
      <rPr>
        <sz val="10"/>
        <rFont val="Arial"/>
        <family val="2"/>
        <charset val="204"/>
      </rPr>
      <t>/h; P=5,0 m.ūd.st., N=0,0451 kW (230V)</t>
    </r>
  </si>
  <si>
    <t>ALPHA2 25-80 130 50 Hz</t>
  </si>
  <si>
    <r>
      <t>Kaloriferu siltumapgādes sistēmas tīkla cirkulācijas sūknis; G=2,381 m</t>
    </r>
    <r>
      <rPr>
        <vertAlign val="superscript"/>
        <sz val="10"/>
        <rFont val="Arial"/>
        <family val="2"/>
        <charset val="204"/>
      </rPr>
      <t>3</t>
    </r>
    <r>
      <rPr>
        <sz val="10"/>
        <rFont val="Arial"/>
        <family val="2"/>
        <charset val="204"/>
      </rPr>
      <t>/h; P=3,0 m.ūd.st., N=0,0394 kW (230V)</t>
    </r>
  </si>
  <si>
    <r>
      <t>Grīdu apsildes siltumapgādes sistēmas cirkulācijas sūknis; G=3,964 m</t>
    </r>
    <r>
      <rPr>
        <vertAlign val="superscript"/>
        <sz val="10"/>
        <rFont val="Arial"/>
        <family val="2"/>
        <charset val="204"/>
      </rPr>
      <t>3</t>
    </r>
    <r>
      <rPr>
        <sz val="10"/>
        <rFont val="Arial"/>
        <family val="2"/>
        <charset val="204"/>
      </rPr>
      <t>/h; P=8,0 m.ūd.st., N=0,154 kW (230V)</t>
    </r>
  </si>
  <si>
    <t>MAGNA3 25-100 50 Hz</t>
  </si>
  <si>
    <r>
      <t>Siltā ūdens boileru siltuma apgādes sistēmas cirkulācijas sūknis; G=1,756 m</t>
    </r>
    <r>
      <rPr>
        <vertAlign val="superscript"/>
        <sz val="10"/>
        <rFont val="Arial"/>
        <family val="2"/>
        <charset val="204"/>
      </rPr>
      <t>3</t>
    </r>
    <r>
      <rPr>
        <sz val="10"/>
        <rFont val="Arial"/>
        <family val="2"/>
        <charset val="204"/>
      </rPr>
      <t>/h; P=3,0 m.ūd.st., N=0,0284 kW (230V)</t>
    </r>
  </si>
  <si>
    <t>Divgaitu regulējošais vārsts DN=15, Kvs=2,5 ar elektromotora pievadmehānismu NR24-SR (grīdu apsildes siltumapgādes sistēmai)</t>
  </si>
  <si>
    <t>R212 ar NR24-SR</t>
  </si>
  <si>
    <t>Divgaitu regulējošais vārsts DN=20, Kvs=4,0 ar elektromotora pievadmehānismu NR24-SR (radiatoru apkures un siltā ūdens boileru siltumapgādes sistēmām)</t>
  </si>
  <si>
    <t>R222 ar NR24-SR</t>
  </si>
  <si>
    <t>Divgaitu regulējošais vārsts DN=25, Kvs=6,3 ar elektromotora pievadmehānismu NR24-SR (kaloriferu siltumapgādes sistēmai)</t>
  </si>
  <si>
    <t>Izplešanās trauks ar membrānu V=50 l</t>
  </si>
  <si>
    <t>"REFLEX-NG" V=50 l</t>
  </si>
  <si>
    <t>Izplešanās trauks ar membrānu V=100 l</t>
  </si>
  <si>
    <t>"REFLEX-NG" V=100 l</t>
  </si>
  <si>
    <t>Metināms lodveida ventilis</t>
  </si>
  <si>
    <t>Drošības vārsts d=15; P=6,0 bar</t>
  </si>
  <si>
    <t>DN=15; 6 bar</t>
  </si>
  <si>
    <t>Melno tērauda cauruļu metināmi veidgabali</t>
  </si>
  <si>
    <t>Melno tērauda cauruļu vītņu veidgabali</t>
  </si>
  <si>
    <t>Presējamas cinkotas tērauda apkures sistēmu caurules</t>
  </si>
  <si>
    <t>VIEGA PRESTABO (skat. AVK daļu)</t>
  </si>
  <si>
    <t>Tērauda melnās elektrometinātas caurules</t>
  </si>
  <si>
    <t>Tērauda melnās caurules</t>
  </si>
  <si>
    <t>Kopā ēkai: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</si>
</sst>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L_s_-;\-* #,##0.00\ _L_s_-;_-* &quot;-&quot;??\ _L_s_-;_-@_-"/>
    <numFmt numFmtId="165" formatCode="0.0"/>
  </numFmts>
  <fonts count="3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u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vertAlign val="superscript"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Tahoma"/>
      <family val="2"/>
      <charset val="186"/>
    </font>
    <font>
      <b/>
      <sz val="12"/>
      <name val="Tahoma"/>
      <family val="2"/>
      <charset val="186"/>
    </font>
    <font>
      <sz val="12"/>
      <name val="Tahoma"/>
      <family val="2"/>
      <charset val="186"/>
    </font>
    <font>
      <b/>
      <sz val="8"/>
      <name val="Tahoma"/>
      <family val="2"/>
      <charset val="186"/>
    </font>
    <font>
      <b/>
      <sz val="10"/>
      <name val="Tahoma"/>
      <family val="2"/>
      <charset val="186"/>
    </font>
    <font>
      <b/>
      <u/>
      <sz val="10"/>
      <name val="Tahoma"/>
      <family val="2"/>
      <charset val="186"/>
    </font>
    <font>
      <sz val="10"/>
      <name val="Tahoma"/>
      <family val="2"/>
    </font>
    <font>
      <vertAlign val="superscript"/>
      <sz val="10"/>
      <name val="Tahoma"/>
      <family val="2"/>
      <charset val="186"/>
    </font>
    <font>
      <sz val="10"/>
      <name val="Calibri"/>
      <family val="2"/>
      <charset val="186"/>
    </font>
    <font>
      <sz val="10"/>
      <name val="Arial"/>
      <family val="2"/>
      <charset val="186"/>
    </font>
    <font>
      <b/>
      <u/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sz val="10"/>
      <color theme="1"/>
      <name val="Arial"/>
      <family val="2"/>
      <charset val="204"/>
    </font>
    <font>
      <vertAlign val="superscript"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vertAlign val="superscript"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8" fillId="0" borderId="0"/>
    <xf numFmtId="0" fontId="1" fillId="2" borderId="0">
      <alignment vertical="center" wrapText="1"/>
    </xf>
  </cellStyleXfs>
  <cellXfs count="21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 applyAlignment="1">
      <alignment horizontal="center" vertical="center"/>
    </xf>
    <xf numFmtId="0" fontId="0" fillId="0" borderId="7" xfId="0" applyBorder="1"/>
    <xf numFmtId="165" fontId="0" fillId="0" borderId="0" xfId="0" applyNumberFormat="1"/>
    <xf numFmtId="0" fontId="0" fillId="0" borderId="0" xfId="0" applyAlignment="1">
      <alignment horizontal="right"/>
    </xf>
    <xf numFmtId="0" fontId="0" fillId="0" borderId="6" xfId="0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  <xf numFmtId="0" fontId="0" fillId="0" borderId="7" xfId="0" applyFont="1" applyBorder="1"/>
    <xf numFmtId="0" fontId="0" fillId="0" borderId="7" xfId="0" applyFont="1" applyBorder="1" applyAlignment="1">
      <alignment horizontal="center" vertical="center"/>
    </xf>
    <xf numFmtId="2" fontId="0" fillId="0" borderId="7" xfId="0" applyNumberFormat="1" applyFont="1" applyBorder="1" applyAlignment="1">
      <alignment horizontal="center" vertical="center"/>
    </xf>
    <xf numFmtId="165" fontId="0" fillId="0" borderId="7" xfId="0" applyNumberFormat="1" applyFont="1" applyBorder="1" applyAlignment="1">
      <alignment horizontal="center" vertical="center"/>
    </xf>
    <xf numFmtId="1" fontId="0" fillId="0" borderId="7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65" fontId="0" fillId="0" borderId="6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6" xfId="0" applyFont="1" applyBorder="1"/>
    <xf numFmtId="0" fontId="0" fillId="0" borderId="3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vertical="center"/>
    </xf>
    <xf numFmtId="0" fontId="0" fillId="0" borderId="7" xfId="0" applyFont="1" applyBorder="1" applyAlignment="1">
      <alignment horizontal="left" vertical="center"/>
    </xf>
    <xf numFmtId="2" fontId="0" fillId="0" borderId="6" xfId="0" applyNumberFormat="1" applyFont="1" applyBorder="1" applyAlignment="1">
      <alignment horizontal="center" vertical="center"/>
    </xf>
    <xf numFmtId="2" fontId="0" fillId="0" borderId="3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5" xfId="0" applyFont="1" applyBorder="1" applyAlignment="1">
      <alignment horizontal="center" vertical="center"/>
    </xf>
    <xf numFmtId="2" fontId="0" fillId="0" borderId="8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1" fontId="10" fillId="0" borderId="6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1" fontId="0" fillId="0" borderId="0" xfId="0" applyNumberFormat="1"/>
    <xf numFmtId="0" fontId="0" fillId="0" borderId="6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Font="1" applyBorder="1"/>
    <xf numFmtId="0" fontId="0" fillId="0" borderId="11" xfId="0" applyFont="1" applyBorder="1" applyAlignment="1">
      <alignment horizontal="center" vertical="center"/>
    </xf>
    <xf numFmtId="2" fontId="0" fillId="0" borderId="11" xfId="0" applyNumberFormat="1" applyFont="1" applyBorder="1" applyAlignment="1">
      <alignment horizontal="center" vertical="center"/>
    </xf>
    <xf numFmtId="165" fontId="0" fillId="0" borderId="1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/>
    <xf numFmtId="0" fontId="11" fillId="0" borderId="1" xfId="0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left" vertical="top" wrapText="1"/>
      <protection locked="0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49" fontId="17" fillId="0" borderId="0" xfId="0" applyNumberFormat="1" applyFont="1" applyFill="1" applyBorder="1" applyAlignment="1" applyProtection="1">
      <alignment horizontal="center" vertical="center" wrapText="1" readingOrder="1"/>
    </xf>
    <xf numFmtId="0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>
      <alignment vertical="center" wrapText="1"/>
    </xf>
    <xf numFmtId="165" fontId="1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 applyProtection="1">
      <alignment horizontal="left" vertical="top" wrapText="1"/>
      <protection locked="0"/>
    </xf>
    <xf numFmtId="0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horizontal="center" vertical="center" wrapText="1"/>
    </xf>
    <xf numFmtId="165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20" fillId="0" borderId="1" xfId="3" applyBorder="1"/>
    <xf numFmtId="0" fontId="20" fillId="0" borderId="1" xfId="3" applyBorder="1" applyAlignment="1">
      <alignment horizontal="center" vertical="center"/>
    </xf>
    <xf numFmtId="0" fontId="1" fillId="0" borderId="1" xfId="3" applyFont="1" applyBorder="1"/>
    <xf numFmtId="0" fontId="1" fillId="0" borderId="1" xfId="3" applyFont="1" applyBorder="1" applyAlignment="1">
      <alignment horizontal="center" vertical="center"/>
    </xf>
    <xf numFmtId="0" fontId="21" fillId="0" borderId="1" xfId="3" applyFont="1" applyBorder="1" applyAlignment="1">
      <alignment horizontal="center" vertical="center" wrapText="1"/>
    </xf>
    <xf numFmtId="0" fontId="17" fillId="0" borderId="1" xfId="3" applyNumberFormat="1" applyFont="1" applyFill="1" applyBorder="1" applyAlignment="1" applyProtection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0" borderId="1" xfId="3" applyFont="1" applyBorder="1" applyAlignment="1">
      <alignment horizontal="left" vertical="center" wrapText="1"/>
    </xf>
    <xf numFmtId="1" fontId="1" fillId="0" borderId="1" xfId="3" applyNumberFormat="1" applyFont="1" applyFill="1" applyBorder="1" applyAlignment="1" applyProtection="1">
      <alignment horizontal="center" vertical="center" wrapText="1"/>
    </xf>
    <xf numFmtId="0" fontId="24" fillId="0" borderId="1" xfId="3" applyFont="1" applyBorder="1" applyAlignment="1">
      <alignment vertical="center" wrapText="1"/>
    </xf>
    <xf numFmtId="0" fontId="24" fillId="0" borderId="1" xfId="3" applyFont="1" applyBorder="1" applyAlignment="1">
      <alignment horizontal="center" vertical="center" wrapText="1"/>
    </xf>
    <xf numFmtId="1" fontId="24" fillId="0" borderId="1" xfId="3" applyNumberFormat="1" applyFont="1" applyBorder="1" applyAlignment="1">
      <alignment horizontal="center" vertical="center" wrapText="1"/>
    </xf>
    <xf numFmtId="1" fontId="1" fillId="0" borderId="1" xfId="3" applyNumberFormat="1" applyFont="1" applyBorder="1" applyAlignment="1">
      <alignment horizontal="center" vertical="center"/>
    </xf>
    <xf numFmtId="165" fontId="24" fillId="0" borderId="1" xfId="3" applyNumberFormat="1" applyFont="1" applyBorder="1" applyAlignment="1">
      <alignment horizontal="center" vertical="center" wrapText="1"/>
    </xf>
    <xf numFmtId="164" fontId="22" fillId="0" borderId="1" xfId="4" applyNumberFormat="1" applyFont="1" applyBorder="1" applyAlignment="1">
      <alignment vertical="top" wrapText="1"/>
    </xf>
    <xf numFmtId="0" fontId="1" fillId="0" borderId="1" xfId="3" applyNumberFormat="1" applyFont="1" applyFill="1" applyBorder="1" applyAlignment="1" applyProtection="1">
      <alignment horizontal="left" vertical="top" wrapText="1"/>
    </xf>
    <xf numFmtId="165" fontId="24" fillId="0" borderId="1" xfId="3" applyNumberFormat="1" applyFont="1" applyFill="1" applyBorder="1" applyAlignment="1">
      <alignment horizontal="center" vertical="center" wrapText="1"/>
    </xf>
    <xf numFmtId="0" fontId="24" fillId="0" borderId="1" xfId="3" applyFont="1" applyBorder="1" applyAlignment="1">
      <alignment horizontal="center" vertical="center"/>
    </xf>
    <xf numFmtId="0" fontId="1" fillId="0" borderId="3" xfId="3" applyFont="1" applyBorder="1" applyAlignment="1">
      <alignment horizontal="center" vertical="center" wrapText="1"/>
    </xf>
    <xf numFmtId="0" fontId="21" fillId="0" borderId="3" xfId="3" applyFont="1" applyBorder="1" applyAlignment="1">
      <alignment horizontal="center" vertical="center" wrapText="1"/>
    </xf>
    <xf numFmtId="0" fontId="24" fillId="0" borderId="3" xfId="3" applyFont="1" applyBorder="1" applyAlignment="1">
      <alignment horizontal="center" vertical="center"/>
    </xf>
    <xf numFmtId="0" fontId="23" fillId="0" borderId="1" xfId="3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165" fontId="23" fillId="0" borderId="1" xfId="3" applyNumberFormat="1" applyFont="1" applyFill="1" applyBorder="1" applyAlignment="1">
      <alignment horizontal="center" vertical="center" wrapText="1"/>
    </xf>
    <xf numFmtId="0" fontId="20" fillId="0" borderId="1" xfId="3" applyFill="1" applyBorder="1"/>
    <xf numFmtId="1" fontId="23" fillId="0" borderId="1" xfId="3" applyNumberFormat="1" applyFont="1" applyFill="1" applyBorder="1" applyAlignment="1">
      <alignment horizontal="center" vertical="center" wrapText="1"/>
    </xf>
    <xf numFmtId="164" fontId="22" fillId="0" borderId="1" xfId="4" applyNumberFormat="1" applyFont="1" applyBorder="1" applyAlignment="1">
      <alignment horizontal="center" vertical="center" wrapText="1"/>
    </xf>
    <xf numFmtId="165" fontId="24" fillId="0" borderId="1" xfId="3" applyNumberFormat="1" applyFont="1" applyBorder="1" applyAlignment="1">
      <alignment horizontal="center" vertical="center"/>
    </xf>
    <xf numFmtId="165" fontId="24" fillId="0" borderId="1" xfId="3" applyNumberFormat="1" applyFont="1" applyFill="1" applyBorder="1" applyAlignment="1">
      <alignment horizontal="center" vertical="center"/>
    </xf>
    <xf numFmtId="1" fontId="24" fillId="0" borderId="1" xfId="3" applyNumberFormat="1" applyFont="1" applyFill="1" applyBorder="1" applyAlignment="1">
      <alignment horizontal="center" vertical="center"/>
    </xf>
    <xf numFmtId="0" fontId="24" fillId="0" borderId="1" xfId="0" applyFont="1" applyBorder="1"/>
    <xf numFmtId="0" fontId="24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165" fontId="0" fillId="0" borderId="1" xfId="0" applyNumberFormat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0" fontId="24" fillId="0" borderId="1" xfId="1" applyFont="1" applyBorder="1" applyAlignment="1">
      <alignment horizontal="center" vertical="center" wrapText="1"/>
    </xf>
    <xf numFmtId="164" fontId="1" fillId="0" borderId="1" xfId="2" applyNumberFormat="1" applyFont="1" applyBorder="1" applyAlignment="1">
      <alignment horizontal="center" vertical="center" wrapText="1"/>
    </xf>
    <xf numFmtId="164" fontId="1" fillId="0" borderId="1" xfId="2" applyNumberFormat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 wrapText="1"/>
    </xf>
    <xf numFmtId="0" fontId="24" fillId="0" borderId="6" xfId="1" applyFont="1" applyBorder="1" applyAlignment="1">
      <alignment horizontal="center" vertical="center"/>
    </xf>
    <xf numFmtId="0" fontId="1" fillId="0" borderId="1" xfId="1" applyBorder="1"/>
    <xf numFmtId="0" fontId="1" fillId="0" borderId="1" xfId="1" applyBorder="1" applyAlignment="1">
      <alignment horizontal="center" vertical="center"/>
    </xf>
    <xf numFmtId="165" fontId="1" fillId="0" borderId="1" xfId="1" applyNumberFormat="1" applyBorder="1" applyAlignment="1">
      <alignment horizontal="center" vertical="center"/>
    </xf>
    <xf numFmtId="0" fontId="8" fillId="0" borderId="1" xfId="1" applyFont="1" applyBorder="1" applyAlignment="1">
      <alignment wrapText="1"/>
    </xf>
    <xf numFmtId="0" fontId="24" fillId="0" borderId="1" xfId="1" applyFont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left" vertical="top" wrapText="1"/>
    </xf>
    <xf numFmtId="0" fontId="1" fillId="0" borderId="1" xfId="1" applyBorder="1" applyAlignment="1">
      <alignment wrapText="1"/>
    </xf>
    <xf numFmtId="0" fontId="24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 wrapText="1"/>
    </xf>
    <xf numFmtId="0" fontId="24" fillId="0" borderId="1" xfId="1" applyFont="1" applyBorder="1" applyAlignment="1">
      <alignment horizontal="center" vertical="center" wrapText="1"/>
    </xf>
    <xf numFmtId="164" fontId="1" fillId="0" borderId="1" xfId="2" applyNumberFormat="1" applyFont="1" applyBorder="1" applyAlignment="1">
      <alignment horizontal="center" vertical="center" wrapText="1"/>
    </xf>
    <xf numFmtId="164" fontId="1" fillId="0" borderId="1" xfId="2" applyNumberFormat="1" applyFont="1" applyBorder="1" applyAlignment="1">
      <alignment vertical="top" wrapText="1"/>
    </xf>
    <xf numFmtId="0" fontId="24" fillId="0" borderId="6" xfId="1" applyFont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165" fontId="8" fillId="0" borderId="1" xfId="0" applyNumberFormat="1" applyFont="1" applyBorder="1" applyAlignment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left" vertical="top" wrapText="1"/>
    </xf>
    <xf numFmtId="0" fontId="0" fillId="0" borderId="1" xfId="0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165" fontId="8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" fontId="24" fillId="0" borderId="1" xfId="3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0" fillId="0" borderId="6" xfId="0" applyFont="1" applyBorder="1"/>
    <xf numFmtId="0" fontId="10" fillId="0" borderId="6" xfId="0" applyFont="1" applyBorder="1" applyAlignment="1">
      <alignment horizontal="right"/>
    </xf>
    <xf numFmtId="2" fontId="10" fillId="0" borderId="6" xfId="0" applyNumberFormat="1" applyFont="1" applyBorder="1" applyAlignment="1">
      <alignment horizontal="center" vertical="center"/>
    </xf>
    <xf numFmtId="165" fontId="10" fillId="0" borderId="6" xfId="0" applyNumberFormat="1" applyFont="1" applyBorder="1" applyAlignment="1">
      <alignment horizontal="center" vertical="center"/>
    </xf>
    <xf numFmtId="0" fontId="0" fillId="0" borderId="0" xfId="0" applyFont="1"/>
    <xf numFmtId="0" fontId="10" fillId="0" borderId="6" xfId="0" applyFont="1" applyBorder="1" applyAlignment="1">
      <alignment horizontal="center" vertical="center"/>
    </xf>
  </cellXfs>
  <cellStyles count="7">
    <cellStyle name="Comma 2" xfId="2"/>
    <cellStyle name="Comma 2 2" xfId="4"/>
    <cellStyle name="Normal" xfId="0" builtinId="0"/>
    <cellStyle name="Normal 2" xfId="1"/>
    <cellStyle name="Normal 2 2" xfId="5"/>
    <cellStyle name="Normal 3" xfId="3"/>
    <cellStyle name="Normal 8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3"/>
  <sheetViews>
    <sheetView topLeftCell="A82" zoomScale="130" zoomScaleNormal="130" workbookViewId="0">
      <selection activeCell="N133" sqref="N133"/>
    </sheetView>
  </sheetViews>
  <sheetFormatPr defaultRowHeight="15" x14ac:dyDescent="0.25"/>
  <cols>
    <col min="1" max="1" width="6.42578125" style="1" customWidth="1"/>
    <col min="2" max="2" width="26" customWidth="1"/>
    <col min="3" max="3" width="11.85546875" customWidth="1"/>
    <col min="4" max="4" width="8.5703125" customWidth="1"/>
    <col min="6" max="6" width="8.5703125" customWidth="1"/>
    <col min="7" max="10" width="10.42578125" customWidth="1"/>
    <col min="11" max="11" width="11.28515625" customWidth="1"/>
  </cols>
  <sheetData>
    <row r="1" spans="1:11" x14ac:dyDescent="0.25">
      <c r="C1" s="1"/>
      <c r="D1" s="4"/>
      <c r="E1" s="4"/>
      <c r="F1" s="5" t="s">
        <v>10</v>
      </c>
      <c r="G1" s="4"/>
      <c r="H1" s="4"/>
      <c r="I1" s="6"/>
      <c r="J1" s="6"/>
      <c r="K1" s="15" t="s">
        <v>11</v>
      </c>
    </row>
    <row r="2" spans="1:11" x14ac:dyDescent="0.25">
      <c r="A2" s="161" t="s">
        <v>12</v>
      </c>
      <c r="B2" s="163" t="s">
        <v>0</v>
      </c>
      <c r="C2" s="204" t="s">
        <v>17</v>
      </c>
      <c r="D2" s="165" t="s">
        <v>13</v>
      </c>
      <c r="E2" s="166"/>
      <c r="F2" s="167"/>
      <c r="G2" s="168" t="s">
        <v>14</v>
      </c>
      <c r="H2" s="169"/>
      <c r="I2" s="170" t="s">
        <v>15</v>
      </c>
      <c r="J2" s="171"/>
      <c r="K2" s="160" t="s">
        <v>16</v>
      </c>
    </row>
    <row r="3" spans="1:11" ht="51" customHeight="1" x14ac:dyDescent="0.25">
      <c r="A3" s="162"/>
      <c r="B3" s="164"/>
      <c r="C3" s="162"/>
      <c r="D3" s="7" t="s">
        <v>18</v>
      </c>
      <c r="E3" s="3" t="s">
        <v>19</v>
      </c>
      <c r="F3" s="3" t="s">
        <v>20</v>
      </c>
      <c r="G3" s="2" t="s">
        <v>21</v>
      </c>
      <c r="H3" s="2" t="s">
        <v>22</v>
      </c>
      <c r="I3" s="8" t="s">
        <v>21</v>
      </c>
      <c r="J3" s="8" t="s">
        <v>22</v>
      </c>
      <c r="K3" s="160"/>
    </row>
    <row r="4" spans="1:11" x14ac:dyDescent="0.25">
      <c r="A4" s="2"/>
      <c r="B4" s="10" t="s">
        <v>23</v>
      </c>
      <c r="C4" s="9"/>
      <c r="D4" s="2"/>
      <c r="E4" s="2"/>
      <c r="F4" s="2"/>
      <c r="G4" s="2"/>
      <c r="H4" s="2"/>
      <c r="I4" s="2"/>
      <c r="J4" s="2"/>
      <c r="K4" s="2"/>
    </row>
    <row r="5" spans="1:11" x14ac:dyDescent="0.25">
      <c r="A5" s="2">
        <v>1</v>
      </c>
      <c r="B5" s="17" t="s">
        <v>1</v>
      </c>
      <c r="C5" s="18"/>
      <c r="D5" s="20">
        <v>3.7</v>
      </c>
      <c r="E5" s="20">
        <v>2.5</v>
      </c>
      <c r="F5" s="20">
        <f>D5*E5</f>
        <v>9.25</v>
      </c>
      <c r="G5" s="19" t="s">
        <v>47</v>
      </c>
      <c r="H5" s="19" t="s">
        <v>47</v>
      </c>
      <c r="I5" s="19" t="s">
        <v>47</v>
      </c>
      <c r="J5" s="19" t="s">
        <v>47</v>
      </c>
      <c r="K5" s="18"/>
    </row>
    <row r="6" spans="1:11" x14ac:dyDescent="0.25">
      <c r="A6" s="2">
        <v>2</v>
      </c>
      <c r="B6" s="17" t="s">
        <v>2</v>
      </c>
      <c r="C6" s="18"/>
      <c r="D6" s="20">
        <v>15</v>
      </c>
      <c r="E6" s="20">
        <v>2.5</v>
      </c>
      <c r="F6" s="20">
        <f t="shared" ref="F6:F29" si="0">D6*E6</f>
        <v>37.5</v>
      </c>
      <c r="G6" s="19">
        <f>I6/F6</f>
        <v>0.66666666666666663</v>
      </c>
      <c r="H6" s="19" t="s">
        <v>47</v>
      </c>
      <c r="I6" s="22">
        <v>25</v>
      </c>
      <c r="J6" s="19" t="s">
        <v>47</v>
      </c>
      <c r="K6" s="18"/>
    </row>
    <row r="7" spans="1:11" x14ac:dyDescent="0.25">
      <c r="A7" s="2">
        <v>3</v>
      </c>
      <c r="B7" s="17" t="s">
        <v>7</v>
      </c>
      <c r="C7" s="18"/>
      <c r="D7" s="20">
        <v>9.1</v>
      </c>
      <c r="E7" s="20">
        <v>2.5</v>
      </c>
      <c r="F7" s="20">
        <f t="shared" si="0"/>
        <v>22.75</v>
      </c>
      <c r="G7" s="19">
        <f>I7/F7</f>
        <v>4.395604395604396</v>
      </c>
      <c r="H7" s="19" t="s">
        <v>47</v>
      </c>
      <c r="I7" s="21">
        <v>100</v>
      </c>
      <c r="J7" s="19" t="s">
        <v>47</v>
      </c>
      <c r="K7" s="18"/>
    </row>
    <row r="8" spans="1:11" x14ac:dyDescent="0.25">
      <c r="A8" s="2">
        <v>4</v>
      </c>
      <c r="B8" s="17" t="s">
        <v>4</v>
      </c>
      <c r="C8" s="18"/>
      <c r="D8" s="20">
        <v>2.7</v>
      </c>
      <c r="E8" s="20">
        <v>2.5</v>
      </c>
      <c r="F8" s="20">
        <f t="shared" si="0"/>
        <v>6.75</v>
      </c>
      <c r="G8" s="19" t="s">
        <v>47</v>
      </c>
      <c r="H8" s="19">
        <f>J8/F8</f>
        <v>7.4074074074074074</v>
      </c>
      <c r="I8" s="19" t="s">
        <v>47</v>
      </c>
      <c r="J8" s="21">
        <v>50</v>
      </c>
      <c r="K8" s="18"/>
    </row>
    <row r="9" spans="1:11" x14ac:dyDescent="0.25">
      <c r="A9" s="2">
        <v>5</v>
      </c>
      <c r="B9" s="17" t="s">
        <v>4</v>
      </c>
      <c r="C9" s="18"/>
      <c r="D9" s="20">
        <v>3</v>
      </c>
      <c r="E9" s="20">
        <v>2.5</v>
      </c>
      <c r="F9" s="20">
        <f t="shared" si="0"/>
        <v>7.5</v>
      </c>
      <c r="G9" s="19" t="s">
        <v>47</v>
      </c>
      <c r="H9" s="19">
        <f>J9/F9</f>
        <v>6.666666666666667</v>
      </c>
      <c r="I9" s="19" t="s">
        <v>47</v>
      </c>
      <c r="J9" s="21">
        <v>50</v>
      </c>
      <c r="K9" s="18"/>
    </row>
    <row r="10" spans="1:11" x14ac:dyDescent="0.25">
      <c r="A10" s="2"/>
      <c r="B10" s="17" t="s">
        <v>51</v>
      </c>
      <c r="C10" s="18"/>
      <c r="D10" s="20">
        <f>3*4.83-1.3*1.68</f>
        <v>12.306000000000001</v>
      </c>
      <c r="E10" s="20">
        <v>1.25</v>
      </c>
      <c r="F10" s="20">
        <f t="shared" si="0"/>
        <v>15.3825</v>
      </c>
      <c r="G10" s="19" t="s">
        <v>47</v>
      </c>
      <c r="H10" s="19">
        <f>J10/F10</f>
        <v>1.6252234682268811</v>
      </c>
      <c r="I10" s="19" t="s">
        <v>47</v>
      </c>
      <c r="J10" s="21">
        <v>25</v>
      </c>
      <c r="K10" s="18"/>
    </row>
    <row r="11" spans="1:11" ht="17.25" x14ac:dyDescent="0.25">
      <c r="A11" s="2">
        <v>6</v>
      </c>
      <c r="B11" s="17" t="s">
        <v>29</v>
      </c>
      <c r="C11" s="18"/>
      <c r="D11" s="20">
        <v>52.1</v>
      </c>
      <c r="E11" s="20">
        <v>2.5</v>
      </c>
      <c r="F11" s="20">
        <f t="shared" si="0"/>
        <v>130.25</v>
      </c>
      <c r="G11" s="19">
        <f>I11/F11</f>
        <v>4.032</v>
      </c>
      <c r="H11" s="19">
        <f>J11/F11</f>
        <v>4.032</v>
      </c>
      <c r="I11" s="21">
        <f>2.8*3600/1000*D11</f>
        <v>525.16800000000001</v>
      </c>
      <c r="J11" s="21">
        <f>I11</f>
        <v>525.16800000000001</v>
      </c>
      <c r="K11" s="9" t="s">
        <v>48</v>
      </c>
    </row>
    <row r="12" spans="1:11" x14ac:dyDescent="0.25">
      <c r="A12" s="2">
        <v>7</v>
      </c>
      <c r="B12" s="17" t="s">
        <v>52</v>
      </c>
      <c r="C12" s="18"/>
      <c r="D12" s="20">
        <v>53.6</v>
      </c>
      <c r="E12" s="20">
        <v>2.5</v>
      </c>
      <c r="F12" s="20">
        <f t="shared" si="0"/>
        <v>134</v>
      </c>
      <c r="G12" s="19" t="s">
        <v>47</v>
      </c>
      <c r="H12" s="19">
        <v>1</v>
      </c>
      <c r="I12" s="19" t="s">
        <v>47</v>
      </c>
      <c r="J12" s="21">
        <v>135</v>
      </c>
      <c r="K12" s="18"/>
    </row>
    <row r="13" spans="1:11" x14ac:dyDescent="0.25">
      <c r="A13" s="2">
        <v>8</v>
      </c>
      <c r="B13" s="17" t="s">
        <v>7</v>
      </c>
      <c r="C13" s="18"/>
      <c r="D13" s="20">
        <v>8.6999999999999993</v>
      </c>
      <c r="E13" s="20">
        <v>2.5</v>
      </c>
      <c r="F13" s="20">
        <f t="shared" si="0"/>
        <v>21.75</v>
      </c>
      <c r="G13" s="19">
        <f>I13/F13</f>
        <v>6.2068965517241379</v>
      </c>
      <c r="H13" s="19" t="s">
        <v>47</v>
      </c>
      <c r="I13" s="21">
        <v>135</v>
      </c>
      <c r="J13" s="19" t="s">
        <v>47</v>
      </c>
      <c r="K13" s="18"/>
    </row>
    <row r="14" spans="1:11" x14ac:dyDescent="0.25">
      <c r="A14" s="2">
        <v>9</v>
      </c>
      <c r="B14" s="17" t="s">
        <v>30</v>
      </c>
      <c r="C14" s="18"/>
      <c r="D14" s="20">
        <v>11.8</v>
      </c>
      <c r="E14" s="20">
        <v>2.5</v>
      </c>
      <c r="F14" s="20">
        <f t="shared" si="0"/>
        <v>29.5</v>
      </c>
      <c r="G14" s="19" t="s">
        <v>47</v>
      </c>
      <c r="H14" s="19">
        <v>2</v>
      </c>
      <c r="I14" s="21" t="s">
        <v>47</v>
      </c>
      <c r="J14" s="21">
        <v>60</v>
      </c>
      <c r="K14" s="18"/>
    </row>
    <row r="15" spans="1:11" ht="17.25" x14ac:dyDescent="0.25">
      <c r="A15" s="2">
        <v>10</v>
      </c>
      <c r="B15" s="17" t="s">
        <v>31</v>
      </c>
      <c r="C15" s="18"/>
      <c r="D15" s="20">
        <v>52.7</v>
      </c>
      <c r="E15" s="20">
        <v>2.5</v>
      </c>
      <c r="F15" s="20">
        <f t="shared" si="0"/>
        <v>131.75</v>
      </c>
      <c r="G15" s="19">
        <f>I15/F15</f>
        <v>6.0721062618595827</v>
      </c>
      <c r="H15" s="19">
        <f>J15/F15</f>
        <v>5.6166982922201134</v>
      </c>
      <c r="I15" s="21">
        <v>800</v>
      </c>
      <c r="J15" s="21">
        <f>I15-J14</f>
        <v>740</v>
      </c>
      <c r="K15" s="9" t="s">
        <v>53</v>
      </c>
    </row>
    <row r="16" spans="1:11" ht="17.25" x14ac:dyDescent="0.25">
      <c r="A16" s="2">
        <v>11</v>
      </c>
      <c r="B16" s="17" t="s">
        <v>31</v>
      </c>
      <c r="C16" s="18"/>
      <c r="D16" s="20">
        <v>50.1</v>
      </c>
      <c r="E16" s="20">
        <v>2.5</v>
      </c>
      <c r="F16" s="20">
        <f t="shared" si="0"/>
        <v>125.25</v>
      </c>
      <c r="G16" s="19">
        <f>I16/F16</f>
        <v>6.0678642714570854</v>
      </c>
      <c r="H16" s="19">
        <f>J16/F16</f>
        <v>6.0678642714570854</v>
      </c>
      <c r="I16" s="21">
        <v>760</v>
      </c>
      <c r="J16" s="21">
        <f>I16</f>
        <v>760</v>
      </c>
      <c r="K16" s="9" t="s">
        <v>53</v>
      </c>
    </row>
    <row r="17" spans="1:12" x14ac:dyDescent="0.25">
      <c r="A17" s="2">
        <v>12</v>
      </c>
      <c r="B17" s="17" t="s">
        <v>28</v>
      </c>
      <c r="C17" s="18"/>
      <c r="D17" s="20">
        <v>15.2</v>
      </c>
      <c r="E17" s="20">
        <v>2.5</v>
      </c>
      <c r="F17" s="20">
        <f t="shared" si="0"/>
        <v>38</v>
      </c>
      <c r="G17" s="19" t="s">
        <v>47</v>
      </c>
      <c r="H17" s="19">
        <v>1</v>
      </c>
      <c r="I17" s="21" t="s">
        <v>47</v>
      </c>
      <c r="J17" s="21">
        <v>40</v>
      </c>
      <c r="K17" s="18"/>
    </row>
    <row r="18" spans="1:12" x14ac:dyDescent="0.25">
      <c r="A18" s="2">
        <v>13</v>
      </c>
      <c r="B18" s="17" t="s">
        <v>28</v>
      </c>
      <c r="C18" s="18"/>
      <c r="D18" s="20">
        <v>17.3</v>
      </c>
      <c r="E18" s="20">
        <v>2.5</v>
      </c>
      <c r="F18" s="20">
        <f t="shared" si="0"/>
        <v>43.25</v>
      </c>
      <c r="G18" s="19" t="s">
        <v>47</v>
      </c>
      <c r="H18" s="19">
        <v>1</v>
      </c>
      <c r="I18" s="21" t="s">
        <v>47</v>
      </c>
      <c r="J18" s="21">
        <v>45</v>
      </c>
      <c r="K18" s="18"/>
    </row>
    <row r="19" spans="1:12" x14ac:dyDescent="0.25">
      <c r="A19" s="2">
        <v>14</v>
      </c>
      <c r="B19" s="17" t="s">
        <v>28</v>
      </c>
      <c r="C19" s="18"/>
      <c r="D19" s="20">
        <v>70.599999999999994</v>
      </c>
      <c r="E19" s="20">
        <v>2.5</v>
      </c>
      <c r="F19" s="20">
        <f t="shared" si="0"/>
        <v>176.5</v>
      </c>
      <c r="G19" s="19" t="s">
        <v>47</v>
      </c>
      <c r="H19" s="19">
        <v>1</v>
      </c>
      <c r="I19" s="21">
        <v>430</v>
      </c>
      <c r="J19" s="21">
        <v>175</v>
      </c>
      <c r="K19" s="18"/>
    </row>
    <row r="20" spans="1:12" x14ac:dyDescent="0.25">
      <c r="A20" s="2">
        <v>15</v>
      </c>
      <c r="B20" s="17" t="s">
        <v>28</v>
      </c>
      <c r="C20" s="18"/>
      <c r="D20" s="20">
        <v>25.4</v>
      </c>
      <c r="E20" s="20">
        <v>2.5</v>
      </c>
      <c r="F20" s="20">
        <f t="shared" si="0"/>
        <v>63.5</v>
      </c>
      <c r="G20" s="19" t="s">
        <v>47</v>
      </c>
      <c r="H20" s="19">
        <v>1</v>
      </c>
      <c r="I20" s="21" t="s">
        <v>47</v>
      </c>
      <c r="J20" s="21">
        <v>65</v>
      </c>
      <c r="K20" s="18"/>
    </row>
    <row r="21" spans="1:12" x14ac:dyDescent="0.25">
      <c r="A21" s="2">
        <v>16</v>
      </c>
      <c r="B21" s="17" t="s">
        <v>28</v>
      </c>
      <c r="C21" s="18"/>
      <c r="D21" s="20">
        <v>11.2</v>
      </c>
      <c r="E21" s="20">
        <v>2.25</v>
      </c>
      <c r="F21" s="20">
        <f t="shared" si="0"/>
        <v>25.2</v>
      </c>
      <c r="G21" s="19" t="s">
        <v>47</v>
      </c>
      <c r="H21" s="19">
        <v>1</v>
      </c>
      <c r="I21" s="21" t="s">
        <v>47</v>
      </c>
      <c r="J21" s="21">
        <f>F21*H21</f>
        <v>25.2</v>
      </c>
      <c r="K21" s="18"/>
    </row>
    <row r="22" spans="1:12" x14ac:dyDescent="0.25">
      <c r="A22" s="2">
        <v>17</v>
      </c>
      <c r="B22" s="17" t="s">
        <v>32</v>
      </c>
      <c r="C22" s="18"/>
      <c r="D22" s="20">
        <v>5</v>
      </c>
      <c r="E22" s="20">
        <v>2.25</v>
      </c>
      <c r="F22" s="20">
        <f t="shared" si="0"/>
        <v>11.25</v>
      </c>
      <c r="G22" s="19" t="s">
        <v>47</v>
      </c>
      <c r="H22" s="19">
        <v>1</v>
      </c>
      <c r="I22" s="21" t="s">
        <v>47</v>
      </c>
      <c r="J22" s="21">
        <v>15</v>
      </c>
      <c r="K22" s="18"/>
    </row>
    <row r="23" spans="1:12" x14ac:dyDescent="0.25">
      <c r="A23" s="2">
        <v>18</v>
      </c>
      <c r="B23" s="17" t="s">
        <v>28</v>
      </c>
      <c r="C23" s="18"/>
      <c r="D23" s="20">
        <v>16.8</v>
      </c>
      <c r="E23" s="20">
        <v>2</v>
      </c>
      <c r="F23" s="20">
        <f t="shared" si="0"/>
        <v>33.6</v>
      </c>
      <c r="G23" s="19" t="s">
        <v>47</v>
      </c>
      <c r="H23" s="19">
        <v>1</v>
      </c>
      <c r="I23" s="21" t="s">
        <v>47</v>
      </c>
      <c r="J23" s="21">
        <v>35</v>
      </c>
      <c r="K23" s="18"/>
    </row>
    <row r="24" spans="1:12" x14ac:dyDescent="0.25">
      <c r="A24" s="2">
        <v>19</v>
      </c>
      <c r="B24" s="17" t="s">
        <v>28</v>
      </c>
      <c r="C24" s="18"/>
      <c r="D24" s="20">
        <v>53.6</v>
      </c>
      <c r="E24" s="20">
        <v>2</v>
      </c>
      <c r="F24" s="20">
        <f t="shared" si="0"/>
        <v>107.2</v>
      </c>
      <c r="G24" s="19">
        <f>I24/F24</f>
        <v>0.97947761194029848</v>
      </c>
      <c r="H24" s="19">
        <v>1</v>
      </c>
      <c r="I24" s="21">
        <v>105</v>
      </c>
      <c r="J24" s="21">
        <v>105</v>
      </c>
      <c r="K24" s="18"/>
    </row>
    <row r="25" spans="1:12" x14ac:dyDescent="0.25">
      <c r="A25" s="2">
        <v>20</v>
      </c>
      <c r="B25" s="17" t="s">
        <v>28</v>
      </c>
      <c r="C25" s="18"/>
      <c r="D25" s="20">
        <v>53.4</v>
      </c>
      <c r="E25" s="20">
        <v>2</v>
      </c>
      <c r="F25" s="20">
        <f t="shared" si="0"/>
        <v>106.8</v>
      </c>
      <c r="G25" s="19">
        <f>I25/F25</f>
        <v>0.98314606741573041</v>
      </c>
      <c r="H25" s="19">
        <v>1</v>
      </c>
      <c r="I25" s="21">
        <v>105</v>
      </c>
      <c r="J25" s="21">
        <v>105</v>
      </c>
      <c r="K25" s="18"/>
    </row>
    <row r="26" spans="1:12" x14ac:dyDescent="0.25">
      <c r="A26" s="2">
        <v>21</v>
      </c>
      <c r="B26" s="17" t="s">
        <v>28</v>
      </c>
      <c r="C26" s="34"/>
      <c r="D26" s="20">
        <v>15.9</v>
      </c>
      <c r="E26" s="20">
        <v>2</v>
      </c>
      <c r="F26" s="20">
        <f t="shared" si="0"/>
        <v>31.8</v>
      </c>
      <c r="G26" s="19" t="s">
        <v>47</v>
      </c>
      <c r="H26" s="19">
        <v>1</v>
      </c>
      <c r="I26" s="21" t="s">
        <v>47</v>
      </c>
      <c r="J26" s="21">
        <v>30</v>
      </c>
      <c r="K26" s="21"/>
      <c r="L26" s="14"/>
    </row>
    <row r="27" spans="1:12" x14ac:dyDescent="0.25">
      <c r="A27" s="2">
        <v>22</v>
      </c>
      <c r="B27" s="17" t="s">
        <v>28</v>
      </c>
      <c r="C27" s="18"/>
      <c r="D27" s="20">
        <v>54.4</v>
      </c>
      <c r="E27" s="20">
        <v>2</v>
      </c>
      <c r="F27" s="20">
        <f t="shared" si="0"/>
        <v>108.8</v>
      </c>
      <c r="G27" s="19">
        <f>I27/F27</f>
        <v>1.0110294117647058</v>
      </c>
      <c r="H27" s="19">
        <v>1</v>
      </c>
      <c r="I27" s="21">
        <v>110</v>
      </c>
      <c r="J27" s="21">
        <v>110</v>
      </c>
      <c r="K27" s="18"/>
    </row>
    <row r="28" spans="1:12" x14ac:dyDescent="0.25">
      <c r="A28" s="2">
        <v>23</v>
      </c>
      <c r="B28" s="17" t="s">
        <v>28</v>
      </c>
      <c r="C28" s="17"/>
      <c r="D28" s="20">
        <v>53.5</v>
      </c>
      <c r="E28" s="20">
        <v>2</v>
      </c>
      <c r="F28" s="20">
        <f t="shared" si="0"/>
        <v>107</v>
      </c>
      <c r="G28" s="19">
        <f>I28/F28</f>
        <v>0.98130841121495327</v>
      </c>
      <c r="H28" s="19">
        <v>1</v>
      </c>
      <c r="I28" s="21">
        <v>105</v>
      </c>
      <c r="J28" s="21">
        <v>105</v>
      </c>
      <c r="K28" s="18"/>
    </row>
    <row r="29" spans="1:12" ht="15.75" thickBot="1" x14ac:dyDescent="0.3">
      <c r="A29" s="12">
        <v>24</v>
      </c>
      <c r="B29" s="37" t="s">
        <v>1</v>
      </c>
      <c r="C29" s="23"/>
      <c r="D29" s="25">
        <v>4.2</v>
      </c>
      <c r="E29" s="25">
        <v>2</v>
      </c>
      <c r="F29" s="25">
        <f t="shared" si="0"/>
        <v>8.4</v>
      </c>
      <c r="G29" s="26" t="s">
        <v>47</v>
      </c>
      <c r="H29" s="26" t="s">
        <v>47</v>
      </c>
      <c r="I29" s="27" t="s">
        <v>47</v>
      </c>
      <c r="J29" s="26" t="s">
        <v>47</v>
      </c>
      <c r="K29" s="24"/>
    </row>
    <row r="30" spans="1:12" x14ac:dyDescent="0.25">
      <c r="A30" s="16"/>
      <c r="B30" s="31"/>
      <c r="C30" s="28"/>
      <c r="D30" s="207">
        <f>SUM(D5:D29)</f>
        <v>671.30600000000004</v>
      </c>
      <c r="E30" s="210"/>
      <c r="F30" s="46">
        <f>SUM(F5:F29)</f>
        <v>1532.9324999999999</v>
      </c>
      <c r="G30" s="29"/>
      <c r="H30" s="29"/>
      <c r="I30" s="46">
        <f>SUM(I5:I29)</f>
        <v>3200.1680000000001</v>
      </c>
      <c r="J30" s="46">
        <f>SUM(J5:J29)</f>
        <v>3200.3679999999999</v>
      </c>
      <c r="K30" s="28"/>
    </row>
    <row r="31" spans="1:12" x14ac:dyDescent="0.25">
      <c r="A31" s="2"/>
      <c r="B31" s="17"/>
      <c r="C31" s="18"/>
      <c r="D31" s="19"/>
      <c r="E31" s="18"/>
      <c r="F31" s="19"/>
      <c r="G31" s="19"/>
      <c r="H31" s="19"/>
      <c r="I31" s="21"/>
      <c r="J31" s="21"/>
      <c r="K31" s="18"/>
    </row>
    <row r="32" spans="1:12" x14ac:dyDescent="0.25">
      <c r="A32" s="2"/>
      <c r="B32" s="10" t="s">
        <v>24</v>
      </c>
      <c r="C32" s="18"/>
      <c r="D32" s="19"/>
      <c r="E32" s="18"/>
      <c r="F32" s="19"/>
      <c r="G32" s="19"/>
      <c r="H32" s="19"/>
      <c r="I32" s="21"/>
      <c r="J32" s="21"/>
      <c r="K32" s="18"/>
    </row>
    <row r="33" spans="1:11" x14ac:dyDescent="0.25">
      <c r="A33" s="2">
        <v>101</v>
      </c>
      <c r="B33" s="17" t="s">
        <v>25</v>
      </c>
      <c r="C33" s="18"/>
      <c r="D33" s="20">
        <v>3.8</v>
      </c>
      <c r="E33" s="20">
        <v>2.4</v>
      </c>
      <c r="F33" s="20">
        <f>D33*E33</f>
        <v>9.1199999999999992</v>
      </c>
      <c r="G33" s="19" t="s">
        <v>47</v>
      </c>
      <c r="H33" s="19" t="s">
        <v>47</v>
      </c>
      <c r="I33" s="19" t="s">
        <v>47</v>
      </c>
      <c r="J33" s="19" t="s">
        <v>47</v>
      </c>
      <c r="K33" s="18"/>
    </row>
    <row r="34" spans="1:11" x14ac:dyDescent="0.25">
      <c r="A34" s="2">
        <v>102</v>
      </c>
      <c r="B34" s="17" t="s">
        <v>1</v>
      </c>
      <c r="C34" s="18"/>
      <c r="D34" s="20">
        <v>18.3</v>
      </c>
      <c r="E34" s="20">
        <v>2.4</v>
      </c>
      <c r="F34" s="20">
        <f t="shared" ref="F34:F81" si="1">D34*E34</f>
        <v>43.92</v>
      </c>
      <c r="G34" s="19" t="s">
        <v>47</v>
      </c>
      <c r="H34" s="19" t="s">
        <v>47</v>
      </c>
      <c r="I34" s="19" t="s">
        <v>47</v>
      </c>
      <c r="J34" s="19" t="s">
        <v>47</v>
      </c>
      <c r="K34" s="18"/>
    </row>
    <row r="35" spans="1:11" x14ac:dyDescent="0.25">
      <c r="A35" s="2">
        <v>103</v>
      </c>
      <c r="B35" s="17" t="s">
        <v>2</v>
      </c>
      <c r="C35" s="18"/>
      <c r="D35" s="20">
        <v>11</v>
      </c>
      <c r="E35" s="20">
        <v>2.4</v>
      </c>
      <c r="F35" s="20">
        <f t="shared" si="1"/>
        <v>26.4</v>
      </c>
      <c r="G35" s="19" t="s">
        <v>47</v>
      </c>
      <c r="H35" s="19" t="s">
        <v>47</v>
      </c>
      <c r="I35" s="19" t="s">
        <v>47</v>
      </c>
      <c r="J35" s="19" t="s">
        <v>47</v>
      </c>
      <c r="K35" s="18" t="s">
        <v>49</v>
      </c>
    </row>
    <row r="36" spans="1:11" x14ac:dyDescent="0.25">
      <c r="A36" s="2">
        <v>104</v>
      </c>
      <c r="B36" s="17" t="s">
        <v>33</v>
      </c>
      <c r="C36" s="18"/>
      <c r="D36" s="20">
        <v>12.7</v>
      </c>
      <c r="E36" s="20">
        <v>2.4</v>
      </c>
      <c r="F36" s="20">
        <f t="shared" si="1"/>
        <v>30.479999999999997</v>
      </c>
      <c r="G36" s="19" t="s">
        <v>47</v>
      </c>
      <c r="H36" s="19">
        <f>J36/F36</f>
        <v>2.1325459317585302</v>
      </c>
      <c r="I36" s="19">
        <v>165</v>
      </c>
      <c r="J36" s="21">
        <v>65</v>
      </c>
      <c r="K36" s="18"/>
    </row>
    <row r="37" spans="1:11" x14ac:dyDescent="0.25">
      <c r="A37" s="2">
        <v>105</v>
      </c>
      <c r="B37" s="17" t="s">
        <v>34</v>
      </c>
      <c r="C37" s="18"/>
      <c r="D37" s="20">
        <v>3.4</v>
      </c>
      <c r="E37" s="20">
        <v>2.4</v>
      </c>
      <c r="F37" s="20">
        <f t="shared" si="1"/>
        <v>8.16</v>
      </c>
      <c r="G37" s="19" t="s">
        <v>47</v>
      </c>
      <c r="H37" s="19">
        <f>J37/F37</f>
        <v>6.1274509803921564</v>
      </c>
      <c r="I37" s="19" t="s">
        <v>47</v>
      </c>
      <c r="J37" s="21">
        <v>50</v>
      </c>
      <c r="K37" s="18"/>
    </row>
    <row r="38" spans="1:11" x14ac:dyDescent="0.25">
      <c r="A38" s="2">
        <v>106</v>
      </c>
      <c r="B38" s="17" t="s">
        <v>4</v>
      </c>
      <c r="C38" s="18"/>
      <c r="D38" s="20">
        <v>1.9</v>
      </c>
      <c r="E38" s="20">
        <v>2.4</v>
      </c>
      <c r="F38" s="20">
        <f t="shared" si="1"/>
        <v>4.5599999999999996</v>
      </c>
      <c r="G38" s="19" t="s">
        <v>47</v>
      </c>
      <c r="H38" s="19">
        <f>J38/F38</f>
        <v>10.964912280701755</v>
      </c>
      <c r="I38" s="19" t="s">
        <v>47</v>
      </c>
      <c r="J38" s="21">
        <v>50</v>
      </c>
      <c r="K38" s="18"/>
    </row>
    <row r="39" spans="1:11" ht="17.25" x14ac:dyDescent="0.25">
      <c r="A39" s="2">
        <v>107</v>
      </c>
      <c r="B39" s="17" t="s">
        <v>35</v>
      </c>
      <c r="C39" s="18"/>
      <c r="D39" s="20">
        <v>35.799999999999997</v>
      </c>
      <c r="E39" s="20">
        <v>2.4</v>
      </c>
      <c r="F39" s="20">
        <f t="shared" si="1"/>
        <v>85.919999999999987</v>
      </c>
      <c r="G39" s="19">
        <f>I39/F39</f>
        <v>6.1685288640595912</v>
      </c>
      <c r="H39" s="19">
        <f>J39/F39</f>
        <v>4.1899441340782131</v>
      </c>
      <c r="I39" s="21">
        <v>530</v>
      </c>
      <c r="J39" s="21">
        <v>360</v>
      </c>
      <c r="K39" s="9" t="s">
        <v>48</v>
      </c>
    </row>
    <row r="40" spans="1:11" ht="17.25" x14ac:dyDescent="0.25">
      <c r="A40" s="2">
        <v>108</v>
      </c>
      <c r="B40" s="17" t="s">
        <v>35</v>
      </c>
      <c r="C40" s="18"/>
      <c r="D40" s="20">
        <v>53.7</v>
      </c>
      <c r="E40" s="20">
        <v>2.4</v>
      </c>
      <c r="F40" s="20">
        <f t="shared" si="1"/>
        <v>128.88</v>
      </c>
      <c r="G40" s="19">
        <f>I40/F40</f>
        <v>4.1899441340782122</v>
      </c>
      <c r="H40" s="19">
        <f>J40/F40</f>
        <v>4.1899441340782122</v>
      </c>
      <c r="I40" s="21">
        <v>540</v>
      </c>
      <c r="J40" s="21">
        <f t="shared" ref="J40" si="2">I40</f>
        <v>540</v>
      </c>
      <c r="K40" s="9" t="s">
        <v>48</v>
      </c>
    </row>
    <row r="41" spans="1:11" x14ac:dyDescent="0.25">
      <c r="A41" s="2">
        <v>109</v>
      </c>
      <c r="B41" s="17" t="s">
        <v>36</v>
      </c>
      <c r="C41" s="18"/>
      <c r="D41" s="20">
        <v>10.4</v>
      </c>
      <c r="E41" s="20">
        <v>2.4</v>
      </c>
      <c r="F41" s="20">
        <f t="shared" si="1"/>
        <v>24.96</v>
      </c>
      <c r="G41" s="19"/>
      <c r="H41" s="19">
        <v>5</v>
      </c>
      <c r="I41" s="21"/>
      <c r="J41" s="21">
        <v>125</v>
      </c>
      <c r="K41" s="18"/>
    </row>
    <row r="42" spans="1:11" x14ac:dyDescent="0.25">
      <c r="A42" s="2">
        <v>110</v>
      </c>
      <c r="B42" s="17" t="s">
        <v>8</v>
      </c>
      <c r="C42" s="18"/>
      <c r="D42" s="20">
        <v>5.8</v>
      </c>
      <c r="E42" s="20">
        <v>2.4</v>
      </c>
      <c r="F42" s="20">
        <f t="shared" si="1"/>
        <v>13.92</v>
      </c>
      <c r="G42" s="19"/>
      <c r="H42" s="19">
        <v>5</v>
      </c>
      <c r="I42" s="21"/>
      <c r="J42" s="21">
        <v>75</v>
      </c>
      <c r="K42" s="18"/>
    </row>
    <row r="43" spans="1:11" x14ac:dyDescent="0.25">
      <c r="A43" s="2">
        <v>111</v>
      </c>
      <c r="B43" s="17" t="s">
        <v>2</v>
      </c>
      <c r="C43" s="18"/>
      <c r="D43" s="20">
        <v>5.4</v>
      </c>
      <c r="E43" s="20">
        <v>2.4</v>
      </c>
      <c r="F43" s="20">
        <f t="shared" si="1"/>
        <v>12.96</v>
      </c>
      <c r="G43" s="19">
        <v>2</v>
      </c>
      <c r="H43" s="19" t="s">
        <v>47</v>
      </c>
      <c r="I43" s="19">
        <v>30</v>
      </c>
      <c r="J43" s="19" t="s">
        <v>47</v>
      </c>
      <c r="K43" s="19"/>
    </row>
    <row r="44" spans="1:11" ht="17.25" x14ac:dyDescent="0.25">
      <c r="A44" s="2">
        <v>112</v>
      </c>
      <c r="B44" s="17" t="s">
        <v>37</v>
      </c>
      <c r="C44" s="18"/>
      <c r="D44" s="20">
        <v>19.3</v>
      </c>
      <c r="E44" s="20">
        <v>2.4</v>
      </c>
      <c r="F44" s="20">
        <f t="shared" si="1"/>
        <v>46.32</v>
      </c>
      <c r="G44" s="19">
        <f>I44/F44</f>
        <v>4.2</v>
      </c>
      <c r="H44" s="19">
        <f>J44/F44</f>
        <v>4.2</v>
      </c>
      <c r="I44" s="21">
        <f>2.8*3600/1000*D44</f>
        <v>194.54400000000001</v>
      </c>
      <c r="J44" s="21">
        <f>I44</f>
        <v>194.54400000000001</v>
      </c>
      <c r="K44" s="9" t="s">
        <v>48</v>
      </c>
    </row>
    <row r="45" spans="1:11" x14ac:dyDescent="0.25">
      <c r="A45" s="2">
        <v>113</v>
      </c>
      <c r="B45" s="47" t="s">
        <v>2</v>
      </c>
      <c r="C45" s="18"/>
      <c r="D45" s="20">
        <v>21.3</v>
      </c>
      <c r="E45" s="20">
        <v>2.4</v>
      </c>
      <c r="F45" s="20">
        <f t="shared" si="1"/>
        <v>51.12</v>
      </c>
      <c r="G45" s="19">
        <f>I45/F45</f>
        <v>2.7386541471048513</v>
      </c>
      <c r="H45" s="19" t="s">
        <v>47</v>
      </c>
      <c r="I45" s="21">
        <v>140</v>
      </c>
      <c r="J45" s="19" t="s">
        <v>47</v>
      </c>
      <c r="K45" s="18"/>
    </row>
    <row r="46" spans="1:11" ht="17.25" x14ac:dyDescent="0.25">
      <c r="A46" s="2">
        <v>114</v>
      </c>
      <c r="B46" s="17" t="s">
        <v>38</v>
      </c>
      <c r="C46" s="18"/>
      <c r="D46" s="20">
        <v>17.5</v>
      </c>
      <c r="E46" s="20">
        <v>2.4</v>
      </c>
      <c r="F46" s="20">
        <f t="shared" si="1"/>
        <v>42</v>
      </c>
      <c r="G46" s="19">
        <f>I46/F46</f>
        <v>4.2</v>
      </c>
      <c r="H46" s="19">
        <f>J46/F46</f>
        <v>4.2</v>
      </c>
      <c r="I46" s="21">
        <f>2.8*3600/1000*D46</f>
        <v>176.4</v>
      </c>
      <c r="J46" s="21">
        <f t="shared" ref="J46:J47" si="3">I46</f>
        <v>176.4</v>
      </c>
      <c r="K46" s="9" t="s">
        <v>48</v>
      </c>
    </row>
    <row r="47" spans="1:11" ht="17.25" x14ac:dyDescent="0.25">
      <c r="A47" s="2">
        <v>115</v>
      </c>
      <c r="B47" s="17" t="s">
        <v>38</v>
      </c>
      <c r="C47" s="18"/>
      <c r="D47" s="20">
        <v>18.7</v>
      </c>
      <c r="E47" s="20">
        <v>2.4</v>
      </c>
      <c r="F47" s="20">
        <f t="shared" si="1"/>
        <v>44.879999999999995</v>
      </c>
      <c r="G47" s="19">
        <f>I47/F47</f>
        <v>4.2</v>
      </c>
      <c r="H47" s="19">
        <f>J47/F47</f>
        <v>4.2</v>
      </c>
      <c r="I47" s="21">
        <f>2.8*3600/1000*D47</f>
        <v>188.49599999999998</v>
      </c>
      <c r="J47" s="21">
        <f t="shared" si="3"/>
        <v>188.49599999999998</v>
      </c>
      <c r="K47" s="9" t="s">
        <v>48</v>
      </c>
    </row>
    <row r="48" spans="1:11" ht="17.25" x14ac:dyDescent="0.25">
      <c r="A48" s="2">
        <v>116</v>
      </c>
      <c r="B48" s="17" t="s">
        <v>39</v>
      </c>
      <c r="C48" s="18"/>
      <c r="D48" s="20">
        <v>34.6</v>
      </c>
      <c r="E48" s="20">
        <v>2.4</v>
      </c>
      <c r="F48" s="20">
        <f t="shared" si="1"/>
        <v>83.04</v>
      </c>
      <c r="G48" s="19">
        <f>I48/F48</f>
        <v>4.2148362235067438</v>
      </c>
      <c r="H48" s="19">
        <f>J48/F48</f>
        <v>4.2148362235067438</v>
      </c>
      <c r="I48" s="21">
        <v>350</v>
      </c>
      <c r="J48" s="21">
        <v>350</v>
      </c>
      <c r="K48" s="9" t="s">
        <v>48</v>
      </c>
    </row>
    <row r="49" spans="1:11" x14ac:dyDescent="0.25">
      <c r="A49" s="2">
        <v>117</v>
      </c>
      <c r="B49" s="17" t="s">
        <v>2</v>
      </c>
      <c r="C49" s="18"/>
      <c r="D49" s="20">
        <v>12.4</v>
      </c>
      <c r="E49" s="20">
        <v>2.4</v>
      </c>
      <c r="F49" s="20">
        <f t="shared" si="1"/>
        <v>29.759999999999998</v>
      </c>
      <c r="G49" s="19">
        <v>2</v>
      </c>
      <c r="H49" s="19" t="s">
        <v>47</v>
      </c>
      <c r="I49" s="21">
        <v>60</v>
      </c>
      <c r="J49" s="19" t="s">
        <v>47</v>
      </c>
      <c r="K49" s="9"/>
    </row>
    <row r="50" spans="1:11" x14ac:dyDescent="0.25">
      <c r="A50" s="2">
        <v>118</v>
      </c>
      <c r="B50" s="17" t="s">
        <v>40</v>
      </c>
      <c r="C50" s="18"/>
      <c r="D50" s="20">
        <v>7.8</v>
      </c>
      <c r="E50" s="20">
        <v>2.4</v>
      </c>
      <c r="F50" s="20">
        <f t="shared" si="1"/>
        <v>18.72</v>
      </c>
      <c r="G50" s="19" t="s">
        <v>47</v>
      </c>
      <c r="H50" s="19">
        <v>2</v>
      </c>
      <c r="I50" s="19" t="s">
        <v>47</v>
      </c>
      <c r="J50" s="21">
        <v>35</v>
      </c>
      <c r="K50" s="18"/>
    </row>
    <row r="51" spans="1:11" x14ac:dyDescent="0.25">
      <c r="A51" s="2">
        <v>119</v>
      </c>
      <c r="B51" s="17" t="s">
        <v>25</v>
      </c>
      <c r="C51" s="18"/>
      <c r="D51" s="20">
        <v>4</v>
      </c>
      <c r="E51" s="20">
        <v>2.4</v>
      </c>
      <c r="F51" s="20">
        <f t="shared" si="1"/>
        <v>9.6</v>
      </c>
      <c r="G51" s="19" t="s">
        <v>47</v>
      </c>
      <c r="H51" s="19" t="s">
        <v>47</v>
      </c>
      <c r="I51" s="19" t="s">
        <v>47</v>
      </c>
      <c r="J51" s="19" t="s">
        <v>47</v>
      </c>
      <c r="K51" s="18"/>
    </row>
    <row r="52" spans="1:11" x14ac:dyDescent="0.25">
      <c r="A52" s="2">
        <v>120</v>
      </c>
      <c r="B52" s="17" t="s">
        <v>2</v>
      </c>
      <c r="C52" s="18"/>
      <c r="D52" s="20">
        <v>9.6</v>
      </c>
      <c r="E52" s="20">
        <v>2.4</v>
      </c>
      <c r="F52" s="20">
        <f t="shared" si="1"/>
        <v>23.04</v>
      </c>
      <c r="G52" s="19">
        <v>2</v>
      </c>
      <c r="H52" s="19" t="s">
        <v>47</v>
      </c>
      <c r="I52" s="21">
        <v>50</v>
      </c>
      <c r="J52" s="19" t="s">
        <v>47</v>
      </c>
      <c r="K52" s="18"/>
    </row>
    <row r="53" spans="1:11" x14ac:dyDescent="0.25">
      <c r="A53" s="2">
        <v>121</v>
      </c>
      <c r="B53" s="17" t="s">
        <v>7</v>
      </c>
      <c r="C53" s="18"/>
      <c r="D53" s="20">
        <v>4.7</v>
      </c>
      <c r="E53" s="20">
        <v>2.4</v>
      </c>
      <c r="F53" s="20">
        <f t="shared" si="1"/>
        <v>11.28</v>
      </c>
      <c r="G53" s="19">
        <v>2</v>
      </c>
      <c r="H53" s="19" t="s">
        <v>47</v>
      </c>
      <c r="I53" s="21">
        <v>25</v>
      </c>
      <c r="J53" s="19" t="s">
        <v>47</v>
      </c>
      <c r="K53" s="18"/>
    </row>
    <row r="54" spans="1:11" x14ac:dyDescent="0.25">
      <c r="A54" s="2">
        <v>122</v>
      </c>
      <c r="B54" s="17" t="s">
        <v>27</v>
      </c>
      <c r="C54" s="18"/>
      <c r="D54" s="20">
        <v>10.5</v>
      </c>
      <c r="E54" s="20">
        <v>2.4</v>
      </c>
      <c r="F54" s="20">
        <f t="shared" si="1"/>
        <v>25.2</v>
      </c>
      <c r="G54" s="19">
        <v>2</v>
      </c>
      <c r="H54" s="19" t="s">
        <v>47</v>
      </c>
      <c r="I54" s="21">
        <v>55</v>
      </c>
      <c r="J54" s="19" t="s">
        <v>47</v>
      </c>
      <c r="K54" s="18"/>
    </row>
    <row r="55" spans="1:11" x14ac:dyDescent="0.25">
      <c r="A55" s="2">
        <v>123</v>
      </c>
      <c r="B55" s="17" t="s">
        <v>41</v>
      </c>
      <c r="C55" s="18"/>
      <c r="D55" s="20">
        <v>22.3</v>
      </c>
      <c r="E55" s="20">
        <v>2.4</v>
      </c>
      <c r="F55" s="20">
        <f t="shared" si="1"/>
        <v>53.52</v>
      </c>
      <c r="G55" s="45">
        <f>I55/F55</f>
        <v>24.570254110612854</v>
      </c>
      <c r="H55" s="45">
        <f>J55/F55</f>
        <v>27.18609865470852</v>
      </c>
      <c r="I55" s="22">
        <v>1315</v>
      </c>
      <c r="J55" s="22">
        <f>1680-225</f>
        <v>1455</v>
      </c>
      <c r="K55" s="18"/>
    </row>
    <row r="56" spans="1:11" x14ac:dyDescent="0.25">
      <c r="A56" s="2">
        <v>124</v>
      </c>
      <c r="B56" s="17" t="s">
        <v>2</v>
      </c>
      <c r="C56" s="18"/>
      <c r="D56" s="20">
        <v>7.7</v>
      </c>
      <c r="E56" s="20">
        <v>2.4</v>
      </c>
      <c r="F56" s="20">
        <f t="shared" si="1"/>
        <v>18.48</v>
      </c>
      <c r="G56" s="19">
        <v>2</v>
      </c>
      <c r="H56" s="19" t="s">
        <v>47</v>
      </c>
      <c r="I56" s="21">
        <v>40</v>
      </c>
      <c r="J56" s="19" t="s">
        <v>47</v>
      </c>
      <c r="K56" s="18"/>
    </row>
    <row r="57" spans="1:11" x14ac:dyDescent="0.25">
      <c r="A57" s="2">
        <v>125</v>
      </c>
      <c r="B57" s="17" t="s">
        <v>2</v>
      </c>
      <c r="C57" s="18"/>
      <c r="D57" s="20">
        <v>1.8</v>
      </c>
      <c r="E57" s="20">
        <v>2.4</v>
      </c>
      <c r="F57" s="20">
        <f t="shared" si="1"/>
        <v>4.32</v>
      </c>
      <c r="G57" s="19">
        <v>2</v>
      </c>
      <c r="H57" s="19" t="s">
        <v>47</v>
      </c>
      <c r="I57" s="21">
        <v>10</v>
      </c>
      <c r="J57" s="19" t="s">
        <v>47</v>
      </c>
      <c r="K57" s="18"/>
    </row>
    <row r="58" spans="1:11" x14ac:dyDescent="0.25">
      <c r="A58" s="2">
        <v>126</v>
      </c>
      <c r="B58" s="17" t="s">
        <v>42</v>
      </c>
      <c r="C58" s="18"/>
      <c r="D58" s="20">
        <v>3.5</v>
      </c>
      <c r="E58" s="20">
        <v>2.4</v>
      </c>
      <c r="F58" s="20">
        <f t="shared" si="1"/>
        <v>8.4</v>
      </c>
      <c r="G58" s="19" t="s">
        <v>47</v>
      </c>
      <c r="H58" s="19">
        <v>2</v>
      </c>
      <c r="I58" s="19" t="s">
        <v>47</v>
      </c>
      <c r="J58" s="21">
        <v>20</v>
      </c>
      <c r="K58" s="18"/>
    </row>
    <row r="59" spans="1:11" x14ac:dyDescent="0.25">
      <c r="A59" s="2">
        <v>127</v>
      </c>
      <c r="B59" s="17" t="s">
        <v>9</v>
      </c>
      <c r="C59" s="18"/>
      <c r="D59" s="20">
        <v>3.8</v>
      </c>
      <c r="E59" s="20">
        <v>2.4</v>
      </c>
      <c r="F59" s="20">
        <f t="shared" si="1"/>
        <v>9.1199999999999992</v>
      </c>
      <c r="G59" s="19" t="s">
        <v>47</v>
      </c>
      <c r="H59" s="19">
        <v>1.5</v>
      </c>
      <c r="I59" s="19" t="s">
        <v>47</v>
      </c>
      <c r="J59" s="21">
        <v>15</v>
      </c>
      <c r="K59" s="18"/>
    </row>
    <row r="60" spans="1:11" x14ac:dyDescent="0.25">
      <c r="A60" s="2">
        <v>128</v>
      </c>
      <c r="B60" s="17" t="s">
        <v>3</v>
      </c>
      <c r="C60" s="18"/>
      <c r="D60" s="20">
        <v>5.9</v>
      </c>
      <c r="E60" s="20">
        <v>2.4</v>
      </c>
      <c r="F60" s="20">
        <f t="shared" si="1"/>
        <v>14.16</v>
      </c>
      <c r="G60" s="19">
        <f>I60/F60</f>
        <v>2.1186440677966103</v>
      </c>
      <c r="H60" s="19">
        <v>2</v>
      </c>
      <c r="I60" s="21">
        <v>30</v>
      </c>
      <c r="J60" s="21">
        <v>30</v>
      </c>
      <c r="K60" s="18"/>
    </row>
    <row r="61" spans="1:11" x14ac:dyDescent="0.25">
      <c r="A61" s="2">
        <v>129</v>
      </c>
      <c r="B61" s="17" t="s">
        <v>43</v>
      </c>
      <c r="C61" s="18"/>
      <c r="D61" s="20">
        <v>14.5</v>
      </c>
      <c r="E61" s="20">
        <v>2.4</v>
      </c>
      <c r="F61" s="38">
        <f t="shared" si="1"/>
        <v>34.799999999999997</v>
      </c>
      <c r="G61" s="29">
        <f>I61/F61</f>
        <v>1.149425287356322</v>
      </c>
      <c r="H61" s="19">
        <f>J61/F61</f>
        <v>1.149425287356322</v>
      </c>
      <c r="I61" s="21">
        <v>40</v>
      </c>
      <c r="J61" s="21">
        <v>40</v>
      </c>
      <c r="K61" s="18"/>
    </row>
    <row r="62" spans="1:11" x14ac:dyDescent="0.25">
      <c r="A62" s="2">
        <v>130</v>
      </c>
      <c r="B62" s="47" t="s">
        <v>7</v>
      </c>
      <c r="C62" s="18"/>
      <c r="D62" s="20">
        <v>2.9</v>
      </c>
      <c r="E62" s="20">
        <v>2.4</v>
      </c>
      <c r="F62" s="20">
        <f t="shared" si="1"/>
        <v>6.96</v>
      </c>
      <c r="G62" s="19" t="s">
        <v>47</v>
      </c>
      <c r="H62" s="19" t="s">
        <v>47</v>
      </c>
      <c r="I62" s="19" t="s">
        <v>47</v>
      </c>
      <c r="J62" s="19" t="s">
        <v>47</v>
      </c>
      <c r="K62" s="18" t="s">
        <v>50</v>
      </c>
    </row>
    <row r="63" spans="1:11" ht="17.25" x14ac:dyDescent="0.25">
      <c r="A63" s="2">
        <v>131</v>
      </c>
      <c r="B63" s="17" t="s">
        <v>3</v>
      </c>
      <c r="C63" s="18"/>
      <c r="D63" s="20">
        <v>29.5</v>
      </c>
      <c r="E63" s="20">
        <v>2.4</v>
      </c>
      <c r="F63" s="20">
        <f t="shared" si="1"/>
        <v>70.8</v>
      </c>
      <c r="G63" s="19">
        <f>I63/F63</f>
        <v>4.166666666666667</v>
      </c>
      <c r="H63" s="19">
        <f>J63/F63</f>
        <v>4.166666666666667</v>
      </c>
      <c r="I63" s="21">
        <v>295</v>
      </c>
      <c r="J63" s="21">
        <f t="shared" ref="J63:J64" si="4">I63</f>
        <v>295</v>
      </c>
      <c r="K63" s="9" t="s">
        <v>48</v>
      </c>
    </row>
    <row r="64" spans="1:11" ht="17.25" x14ac:dyDescent="0.25">
      <c r="A64" s="2">
        <v>132</v>
      </c>
      <c r="B64" s="17" t="s">
        <v>3</v>
      </c>
      <c r="C64" s="18"/>
      <c r="D64" s="20">
        <v>15.5</v>
      </c>
      <c r="E64" s="20">
        <v>2.4</v>
      </c>
      <c r="F64" s="20">
        <f t="shared" si="1"/>
        <v>37.199999999999996</v>
      </c>
      <c r="G64" s="19">
        <f>I64/F64</f>
        <v>4.166666666666667</v>
      </c>
      <c r="H64" s="19">
        <f>J64/F64</f>
        <v>4.166666666666667</v>
      </c>
      <c r="I64" s="21">
        <v>155</v>
      </c>
      <c r="J64" s="21">
        <f t="shared" si="4"/>
        <v>155</v>
      </c>
      <c r="K64" s="9" t="s">
        <v>48</v>
      </c>
    </row>
    <row r="65" spans="1:13" x14ac:dyDescent="0.25">
      <c r="A65" s="2">
        <v>133</v>
      </c>
      <c r="B65" s="17" t="s">
        <v>2</v>
      </c>
      <c r="C65" s="18"/>
      <c r="D65" s="20">
        <v>12.9</v>
      </c>
      <c r="E65" s="20">
        <v>2.4</v>
      </c>
      <c r="F65" s="20">
        <f t="shared" si="1"/>
        <v>30.96</v>
      </c>
      <c r="G65" s="19">
        <v>2</v>
      </c>
      <c r="H65" s="19" t="s">
        <v>47</v>
      </c>
      <c r="I65" s="21">
        <v>65</v>
      </c>
      <c r="J65" s="19" t="s">
        <v>47</v>
      </c>
      <c r="K65" s="18"/>
    </row>
    <row r="66" spans="1:13" x14ac:dyDescent="0.25">
      <c r="A66" s="2">
        <v>134</v>
      </c>
      <c r="B66" s="17" t="s">
        <v>4</v>
      </c>
      <c r="C66" s="18"/>
      <c r="D66" s="20">
        <v>3.5</v>
      </c>
      <c r="E66" s="20">
        <v>2.4</v>
      </c>
      <c r="F66" s="20">
        <f t="shared" si="1"/>
        <v>8.4</v>
      </c>
      <c r="G66" s="19" t="s">
        <v>47</v>
      </c>
      <c r="H66" s="19">
        <f>J66/F66</f>
        <v>5.9523809523809526</v>
      </c>
      <c r="I66" s="19" t="s">
        <v>47</v>
      </c>
      <c r="J66" s="21">
        <v>50</v>
      </c>
      <c r="K66" s="18"/>
    </row>
    <row r="67" spans="1:13" ht="17.25" x14ac:dyDescent="0.25">
      <c r="A67" s="2">
        <v>135</v>
      </c>
      <c r="B67" s="17" t="s">
        <v>3</v>
      </c>
      <c r="C67" s="18"/>
      <c r="D67" s="20">
        <v>57.6</v>
      </c>
      <c r="E67" s="20">
        <v>2.4</v>
      </c>
      <c r="F67" s="38">
        <f t="shared" ref="F67:F71" si="5">D67*E67</f>
        <v>138.24</v>
      </c>
      <c r="G67" s="19">
        <f>I67/F67</f>
        <v>4.1956018518518512</v>
      </c>
      <c r="H67" s="19">
        <f>J67/F67</f>
        <v>3.4722222222222219</v>
      </c>
      <c r="I67" s="21">
        <v>580</v>
      </c>
      <c r="J67" s="21">
        <v>480</v>
      </c>
      <c r="K67" s="9" t="s">
        <v>48</v>
      </c>
      <c r="L67" s="44"/>
    </row>
    <row r="68" spans="1:13" x14ac:dyDescent="0.25">
      <c r="A68" s="2">
        <v>136</v>
      </c>
      <c r="B68" s="17" t="s">
        <v>4</v>
      </c>
      <c r="C68" s="18"/>
      <c r="D68" s="20">
        <v>14.5</v>
      </c>
      <c r="E68" s="20">
        <v>2.4</v>
      </c>
      <c r="F68" s="20">
        <f t="shared" si="5"/>
        <v>34.799999999999997</v>
      </c>
      <c r="G68" s="19" t="s">
        <v>47</v>
      </c>
      <c r="H68" s="19">
        <f>J68/F68</f>
        <v>2.8735632183908049</v>
      </c>
      <c r="I68" s="21" t="s">
        <v>47</v>
      </c>
      <c r="J68" s="21">
        <v>100</v>
      </c>
      <c r="K68" s="18"/>
    </row>
    <row r="69" spans="1:13" ht="17.25" x14ac:dyDescent="0.25">
      <c r="A69" s="2">
        <v>137</v>
      </c>
      <c r="B69" s="17" t="s">
        <v>3</v>
      </c>
      <c r="C69" s="18"/>
      <c r="D69" s="20">
        <v>35.6</v>
      </c>
      <c r="E69" s="20">
        <v>2.4</v>
      </c>
      <c r="F69" s="20">
        <f t="shared" si="5"/>
        <v>85.44</v>
      </c>
      <c r="G69" s="19">
        <f>I69/F69</f>
        <v>4.213483146067416</v>
      </c>
      <c r="H69" s="19">
        <f>J69/F69</f>
        <v>4.213483146067416</v>
      </c>
      <c r="I69" s="21">
        <v>360</v>
      </c>
      <c r="J69" s="21">
        <f>I69</f>
        <v>360</v>
      </c>
      <c r="K69" s="9" t="s">
        <v>48</v>
      </c>
    </row>
    <row r="70" spans="1:13" x14ac:dyDescent="0.25">
      <c r="A70" s="2">
        <v>138</v>
      </c>
      <c r="B70" s="17" t="s">
        <v>44</v>
      </c>
      <c r="C70" s="18"/>
      <c r="D70" s="20">
        <v>17.899999999999999</v>
      </c>
      <c r="E70" s="20">
        <v>2.4</v>
      </c>
      <c r="F70" s="20">
        <f t="shared" si="5"/>
        <v>42.959999999999994</v>
      </c>
      <c r="G70" s="19">
        <v>2</v>
      </c>
      <c r="H70" s="19">
        <v>2</v>
      </c>
      <c r="I70" s="21">
        <v>85</v>
      </c>
      <c r="J70" s="21">
        <v>85</v>
      </c>
      <c r="K70" s="18"/>
    </row>
    <row r="71" spans="1:13" x14ac:dyDescent="0.25">
      <c r="A71" s="2">
        <v>139</v>
      </c>
      <c r="B71" s="17" t="s">
        <v>2</v>
      </c>
      <c r="C71" s="18"/>
      <c r="D71" s="20">
        <v>2.5</v>
      </c>
      <c r="E71" s="20">
        <v>2.4</v>
      </c>
      <c r="F71" s="20">
        <f t="shared" si="5"/>
        <v>6</v>
      </c>
      <c r="G71" s="19" t="s">
        <v>47</v>
      </c>
      <c r="H71" s="19" t="s">
        <v>47</v>
      </c>
      <c r="I71" s="21" t="s">
        <v>47</v>
      </c>
      <c r="J71" s="21" t="s">
        <v>47</v>
      </c>
      <c r="K71" s="18"/>
    </row>
    <row r="72" spans="1:13" x14ac:dyDescent="0.25">
      <c r="A72" s="2">
        <v>140</v>
      </c>
      <c r="B72" s="17" t="s">
        <v>25</v>
      </c>
      <c r="C72" s="18"/>
      <c r="D72" s="20">
        <v>4.2</v>
      </c>
      <c r="E72" s="20">
        <v>2.4</v>
      </c>
      <c r="F72" s="20">
        <f t="shared" si="1"/>
        <v>10.08</v>
      </c>
      <c r="G72" s="19" t="s">
        <v>47</v>
      </c>
      <c r="H72" s="19" t="s">
        <v>47</v>
      </c>
      <c r="I72" s="21" t="s">
        <v>47</v>
      </c>
      <c r="J72" s="21" t="s">
        <v>47</v>
      </c>
      <c r="K72" s="18"/>
      <c r="L72" s="48"/>
      <c r="M72" s="48"/>
    </row>
    <row r="73" spans="1:13" x14ac:dyDescent="0.25">
      <c r="A73" s="2">
        <v>141</v>
      </c>
      <c r="B73" s="17" t="s">
        <v>36</v>
      </c>
      <c r="C73" s="18"/>
      <c r="D73" s="20">
        <v>5</v>
      </c>
      <c r="E73" s="20">
        <v>2.4</v>
      </c>
      <c r="F73" s="20">
        <f t="shared" ref="F73:F76" si="6">D73*E73</f>
        <v>12</v>
      </c>
      <c r="G73" s="19" t="s">
        <v>47</v>
      </c>
      <c r="H73" s="19">
        <f>J73/F73</f>
        <v>3.3333333333333335</v>
      </c>
      <c r="I73" s="21" t="s">
        <v>47</v>
      </c>
      <c r="J73" s="21">
        <v>40</v>
      </c>
      <c r="K73" s="18"/>
    </row>
    <row r="74" spans="1:13" ht="17.25" x14ac:dyDescent="0.25">
      <c r="A74" s="2">
        <v>142</v>
      </c>
      <c r="B74" s="17" t="s">
        <v>3</v>
      </c>
      <c r="C74" s="18"/>
      <c r="D74" s="20">
        <v>58.3</v>
      </c>
      <c r="E74" s="20">
        <v>2.4</v>
      </c>
      <c r="F74" s="20">
        <f t="shared" si="6"/>
        <v>139.91999999999999</v>
      </c>
      <c r="G74" s="19">
        <f>I74/F74</f>
        <v>4.0022870211549462</v>
      </c>
      <c r="H74" s="19">
        <f>J74/F74</f>
        <v>3.2875929102344199</v>
      </c>
      <c r="I74" s="21">
        <v>560</v>
      </c>
      <c r="J74" s="21">
        <v>460</v>
      </c>
      <c r="K74" s="9" t="s">
        <v>48</v>
      </c>
    </row>
    <row r="75" spans="1:13" x14ac:dyDescent="0.25">
      <c r="A75" s="2">
        <v>143</v>
      </c>
      <c r="B75" s="17" t="s">
        <v>4</v>
      </c>
      <c r="C75" s="18"/>
      <c r="D75" s="20">
        <v>14.8</v>
      </c>
      <c r="E75" s="20">
        <v>2.4</v>
      </c>
      <c r="F75" s="20">
        <f t="shared" si="6"/>
        <v>35.520000000000003</v>
      </c>
      <c r="G75" s="19" t="s">
        <v>47</v>
      </c>
      <c r="H75" s="19">
        <f>J75/F75</f>
        <v>2.8153153153153152</v>
      </c>
      <c r="I75" s="21" t="s">
        <v>47</v>
      </c>
      <c r="J75" s="21">
        <v>100</v>
      </c>
      <c r="K75" s="18"/>
    </row>
    <row r="76" spans="1:13" ht="17.25" x14ac:dyDescent="0.25">
      <c r="A76" s="2">
        <v>144</v>
      </c>
      <c r="B76" s="17" t="s">
        <v>3</v>
      </c>
      <c r="C76" s="18"/>
      <c r="D76" s="20">
        <v>35.5</v>
      </c>
      <c r="E76" s="20">
        <v>2.4</v>
      </c>
      <c r="F76" s="20">
        <f t="shared" si="6"/>
        <v>85.2</v>
      </c>
      <c r="G76" s="19">
        <f>I76/F76</f>
        <v>4.225352112676056</v>
      </c>
      <c r="H76" s="19">
        <f>J76/F76</f>
        <v>4.225352112676056</v>
      </c>
      <c r="I76" s="21">
        <v>360</v>
      </c>
      <c r="J76" s="21">
        <f>I76</f>
        <v>360</v>
      </c>
      <c r="K76" s="9" t="s">
        <v>48</v>
      </c>
    </row>
    <row r="77" spans="1:13" x14ac:dyDescent="0.25">
      <c r="A77" s="2">
        <v>145</v>
      </c>
      <c r="B77" s="17" t="s">
        <v>44</v>
      </c>
      <c r="C77" s="18"/>
      <c r="D77" s="20">
        <v>17.7</v>
      </c>
      <c r="E77" s="20">
        <v>2.4</v>
      </c>
      <c r="F77" s="20">
        <f t="shared" si="1"/>
        <v>42.48</v>
      </c>
      <c r="G77" s="19">
        <v>2</v>
      </c>
      <c r="H77" s="19">
        <v>2</v>
      </c>
      <c r="I77" s="21">
        <f>G77*F77</f>
        <v>84.96</v>
      </c>
      <c r="J77" s="21">
        <f>F77*H77</f>
        <v>84.96</v>
      </c>
      <c r="K77" s="18"/>
    </row>
    <row r="78" spans="1:13" x14ac:dyDescent="0.25">
      <c r="A78" s="2">
        <v>146</v>
      </c>
      <c r="B78" s="17" t="s">
        <v>2</v>
      </c>
      <c r="C78" s="18"/>
      <c r="D78" s="39">
        <v>2.5</v>
      </c>
      <c r="E78" s="20">
        <v>2.4</v>
      </c>
      <c r="F78" s="20">
        <f t="shared" si="1"/>
        <v>6</v>
      </c>
      <c r="G78" s="19" t="s">
        <v>47</v>
      </c>
      <c r="H78" s="19" t="s">
        <v>47</v>
      </c>
      <c r="I78" s="21" t="s">
        <v>47</v>
      </c>
      <c r="J78" s="21" t="s">
        <v>47</v>
      </c>
      <c r="K78" s="18"/>
    </row>
    <row r="79" spans="1:13" x14ac:dyDescent="0.25">
      <c r="A79" s="2">
        <v>147</v>
      </c>
      <c r="B79" s="17" t="s">
        <v>25</v>
      </c>
      <c r="C79" s="18"/>
      <c r="D79" s="39">
        <v>4.4000000000000004</v>
      </c>
      <c r="E79" s="20">
        <v>2.4</v>
      </c>
      <c r="F79" s="20">
        <f t="shared" si="1"/>
        <v>10.56</v>
      </c>
      <c r="G79" s="19" t="s">
        <v>47</v>
      </c>
      <c r="H79" s="19" t="s">
        <v>47</v>
      </c>
      <c r="I79" s="21" t="s">
        <v>47</v>
      </c>
      <c r="J79" s="21" t="s">
        <v>47</v>
      </c>
      <c r="K79" s="18"/>
      <c r="L79" s="14"/>
      <c r="M79" s="14"/>
    </row>
    <row r="80" spans="1:13" x14ac:dyDescent="0.25">
      <c r="A80" s="2">
        <v>148</v>
      </c>
      <c r="B80" s="17" t="s">
        <v>1</v>
      </c>
      <c r="C80" s="32"/>
      <c r="D80" s="39">
        <v>17.399999999999999</v>
      </c>
      <c r="E80" s="20">
        <v>2.4</v>
      </c>
      <c r="F80" s="20">
        <f t="shared" si="1"/>
        <v>41.76</v>
      </c>
      <c r="G80" s="33" t="s">
        <v>47</v>
      </c>
      <c r="H80" s="19" t="s">
        <v>47</v>
      </c>
      <c r="I80" s="19" t="s">
        <v>47</v>
      </c>
      <c r="J80" s="19" t="s">
        <v>47</v>
      </c>
      <c r="K80" s="18"/>
    </row>
    <row r="81" spans="1:12" ht="15.75" thickBot="1" x14ac:dyDescent="0.3">
      <c r="A81" s="12">
        <v>149</v>
      </c>
      <c r="B81" s="23" t="s">
        <v>25</v>
      </c>
      <c r="C81" s="24"/>
      <c r="D81" s="25">
        <v>3.9</v>
      </c>
      <c r="E81" s="25">
        <v>2.4</v>
      </c>
      <c r="F81" s="42">
        <f t="shared" si="1"/>
        <v>9.36</v>
      </c>
      <c r="G81" s="26" t="s">
        <v>47</v>
      </c>
      <c r="H81" s="26" t="s">
        <v>47</v>
      </c>
      <c r="I81" s="26" t="s">
        <v>47</v>
      </c>
      <c r="J81" s="26" t="s">
        <v>47</v>
      </c>
      <c r="K81" s="43"/>
    </row>
    <row r="82" spans="1:12" x14ac:dyDescent="0.25">
      <c r="A82" s="16"/>
      <c r="B82" s="31"/>
      <c r="C82" s="28"/>
      <c r="D82" s="207">
        <f>SUM(D33:D81)</f>
        <v>738.19999999999993</v>
      </c>
      <c r="E82" s="207"/>
      <c r="F82" s="46">
        <f>SUM(F33:F81)</f>
        <v>1771.6799999999998</v>
      </c>
      <c r="G82" s="29"/>
      <c r="H82" s="29"/>
      <c r="I82" s="46">
        <f>SUM(I33:I81)</f>
        <v>6484.4000000000005</v>
      </c>
      <c r="J82" s="46">
        <f>SUM(J33:J81)</f>
        <v>6339.4000000000005</v>
      </c>
      <c r="K82" s="28"/>
    </row>
    <row r="83" spans="1:12" x14ac:dyDescent="0.25">
      <c r="A83" s="2"/>
      <c r="B83" s="17"/>
      <c r="C83" s="18"/>
      <c r="D83" s="19"/>
      <c r="E83" s="18"/>
      <c r="F83" s="19"/>
      <c r="G83" s="19"/>
      <c r="H83" s="19"/>
      <c r="I83" s="21"/>
      <c r="J83" s="21"/>
      <c r="K83" s="18"/>
    </row>
    <row r="84" spans="1:12" x14ac:dyDescent="0.25">
      <c r="A84" s="2"/>
      <c r="B84" s="10" t="s">
        <v>26</v>
      </c>
      <c r="C84" s="34"/>
      <c r="D84" s="19"/>
      <c r="E84" s="18"/>
      <c r="F84" s="19"/>
      <c r="G84" s="19"/>
      <c r="H84" s="19"/>
      <c r="I84" s="21"/>
      <c r="J84" s="21"/>
      <c r="K84" s="18"/>
      <c r="L84" s="14"/>
    </row>
    <row r="85" spans="1:12" x14ac:dyDescent="0.25">
      <c r="A85" s="2">
        <v>201</v>
      </c>
      <c r="B85" s="17" t="s">
        <v>1</v>
      </c>
      <c r="C85" s="18"/>
      <c r="D85" s="20">
        <v>19.8</v>
      </c>
      <c r="E85" s="20">
        <v>2.5</v>
      </c>
      <c r="F85" s="20">
        <f>D85*E85</f>
        <v>49.5</v>
      </c>
      <c r="G85" s="19" t="s">
        <v>47</v>
      </c>
      <c r="H85" s="19" t="s">
        <v>47</v>
      </c>
      <c r="I85" s="19" t="s">
        <v>47</v>
      </c>
      <c r="J85" s="19" t="s">
        <v>47</v>
      </c>
      <c r="K85" s="18"/>
    </row>
    <row r="86" spans="1:12" x14ac:dyDescent="0.25">
      <c r="A86" s="2">
        <v>202</v>
      </c>
      <c r="B86" s="36" t="s">
        <v>2</v>
      </c>
      <c r="C86" s="18"/>
      <c r="D86" s="20">
        <v>20.5</v>
      </c>
      <c r="E86" s="20">
        <v>2.5</v>
      </c>
      <c r="F86" s="20">
        <f t="shared" ref="F86:F123" si="7">D86*E86</f>
        <v>51.25</v>
      </c>
      <c r="G86" s="19">
        <f>I86/F86</f>
        <v>3.9024390243902438</v>
      </c>
      <c r="H86" s="19" t="s">
        <v>47</v>
      </c>
      <c r="I86" s="18">
        <v>200</v>
      </c>
      <c r="J86" s="19" t="s">
        <v>47</v>
      </c>
      <c r="K86" s="18"/>
    </row>
    <row r="87" spans="1:12" x14ac:dyDescent="0.25">
      <c r="A87" s="2">
        <v>203</v>
      </c>
      <c r="B87" s="30" t="s">
        <v>44</v>
      </c>
      <c r="C87" s="18"/>
      <c r="D87" s="20">
        <v>15.7</v>
      </c>
      <c r="E87" s="20">
        <v>2.5</v>
      </c>
      <c r="F87" s="20">
        <f t="shared" si="7"/>
        <v>39.25</v>
      </c>
      <c r="G87" s="19">
        <v>2</v>
      </c>
      <c r="H87" s="19">
        <v>2</v>
      </c>
      <c r="I87" s="21">
        <f>G87*F87</f>
        <v>78.5</v>
      </c>
      <c r="J87" s="21">
        <f>F87*H87</f>
        <v>78.5</v>
      </c>
      <c r="K87" s="18"/>
    </row>
    <row r="88" spans="1:12" x14ac:dyDescent="0.25">
      <c r="A88" s="2">
        <v>204</v>
      </c>
      <c r="B88" s="17" t="s">
        <v>7</v>
      </c>
      <c r="C88" s="18"/>
      <c r="D88" s="20">
        <v>1.5</v>
      </c>
      <c r="E88" s="20">
        <v>2.5</v>
      </c>
      <c r="F88" s="20">
        <f t="shared" si="7"/>
        <v>3.75</v>
      </c>
      <c r="G88" s="19" t="s">
        <v>47</v>
      </c>
      <c r="H88" s="19" t="s">
        <v>47</v>
      </c>
      <c r="I88" s="19" t="s">
        <v>47</v>
      </c>
      <c r="J88" s="19" t="s">
        <v>47</v>
      </c>
      <c r="K88" s="18"/>
    </row>
    <row r="89" spans="1:12" x14ac:dyDescent="0.25">
      <c r="A89" s="2">
        <v>205</v>
      </c>
      <c r="B89" s="17" t="s">
        <v>4</v>
      </c>
      <c r="C89" s="18"/>
      <c r="D89" s="20">
        <v>1.8</v>
      </c>
      <c r="E89" s="20">
        <v>2.5</v>
      </c>
      <c r="F89" s="20">
        <f t="shared" si="7"/>
        <v>4.5</v>
      </c>
      <c r="G89" s="19" t="s">
        <v>47</v>
      </c>
      <c r="H89" s="19">
        <f>J89/F89</f>
        <v>11.111111111111111</v>
      </c>
      <c r="I89" s="19" t="s">
        <v>47</v>
      </c>
      <c r="J89" s="21">
        <v>50</v>
      </c>
      <c r="K89" s="18"/>
    </row>
    <row r="90" spans="1:12" x14ac:dyDescent="0.25">
      <c r="A90" s="2">
        <v>206</v>
      </c>
      <c r="B90" s="17" t="s">
        <v>7</v>
      </c>
      <c r="C90" s="18"/>
      <c r="D90" s="20">
        <v>1.5</v>
      </c>
      <c r="E90" s="20">
        <v>2.5</v>
      </c>
      <c r="F90" s="20">
        <f t="shared" si="7"/>
        <v>3.75</v>
      </c>
      <c r="G90" s="19" t="s">
        <v>47</v>
      </c>
      <c r="H90" s="19" t="s">
        <v>47</v>
      </c>
      <c r="I90" s="19" t="s">
        <v>47</v>
      </c>
      <c r="J90" s="19" t="s">
        <v>47</v>
      </c>
      <c r="K90" s="18"/>
    </row>
    <row r="91" spans="1:12" x14ac:dyDescent="0.25">
      <c r="A91" s="2">
        <v>207</v>
      </c>
      <c r="B91" s="17" t="s">
        <v>4</v>
      </c>
      <c r="C91" s="18"/>
      <c r="D91" s="20">
        <v>1.8</v>
      </c>
      <c r="E91" s="20">
        <v>2.5</v>
      </c>
      <c r="F91" s="20">
        <f t="shared" si="7"/>
        <v>4.5</v>
      </c>
      <c r="G91" s="19" t="s">
        <v>47</v>
      </c>
      <c r="H91" s="19">
        <f>J91/F91</f>
        <v>11.111111111111111</v>
      </c>
      <c r="I91" s="19" t="s">
        <v>47</v>
      </c>
      <c r="J91" s="21">
        <v>50</v>
      </c>
      <c r="K91" s="18"/>
    </row>
    <row r="92" spans="1:12" x14ac:dyDescent="0.25">
      <c r="A92" s="2">
        <v>208</v>
      </c>
      <c r="B92" s="17" t="s">
        <v>7</v>
      </c>
      <c r="C92" s="18"/>
      <c r="D92" s="20">
        <v>28.2</v>
      </c>
      <c r="E92" s="20">
        <v>2.5</v>
      </c>
      <c r="F92" s="20">
        <f t="shared" si="7"/>
        <v>70.5</v>
      </c>
      <c r="G92" s="19">
        <v>2</v>
      </c>
      <c r="H92" s="19">
        <v>2</v>
      </c>
      <c r="I92" s="21">
        <f>G92*F92</f>
        <v>141</v>
      </c>
      <c r="J92" s="21">
        <f>F92*H92</f>
        <v>141</v>
      </c>
      <c r="K92" s="18"/>
    </row>
    <row r="93" spans="1:12" ht="17.25" x14ac:dyDescent="0.25">
      <c r="A93" s="2">
        <v>209</v>
      </c>
      <c r="B93" s="17" t="s">
        <v>3</v>
      </c>
      <c r="C93" s="18"/>
      <c r="D93" s="20">
        <v>28.7</v>
      </c>
      <c r="E93" s="20">
        <v>2.5</v>
      </c>
      <c r="F93" s="20">
        <f t="shared" si="7"/>
        <v>71.75</v>
      </c>
      <c r="G93" s="19">
        <f>I93/F93</f>
        <v>4.032</v>
      </c>
      <c r="H93" s="19">
        <f>J93/F93</f>
        <v>4.032</v>
      </c>
      <c r="I93" s="21">
        <f>2.8*3600/1000*D93</f>
        <v>289.29599999999999</v>
      </c>
      <c r="J93" s="21">
        <f>I93</f>
        <v>289.29599999999999</v>
      </c>
      <c r="K93" s="9" t="s">
        <v>48</v>
      </c>
    </row>
    <row r="94" spans="1:12" x14ac:dyDescent="0.25">
      <c r="A94" s="2">
        <v>210</v>
      </c>
      <c r="B94" s="17" t="s">
        <v>2</v>
      </c>
      <c r="C94" s="18"/>
      <c r="D94" s="20">
        <v>3.5</v>
      </c>
      <c r="E94" s="20">
        <v>2.5</v>
      </c>
      <c r="F94" s="20">
        <f t="shared" si="7"/>
        <v>8.75</v>
      </c>
      <c r="G94" s="19" t="s">
        <v>47</v>
      </c>
      <c r="H94" s="19" t="s">
        <v>47</v>
      </c>
      <c r="I94" s="19" t="s">
        <v>47</v>
      </c>
      <c r="J94" s="19" t="s">
        <v>47</v>
      </c>
      <c r="K94" s="18"/>
    </row>
    <row r="95" spans="1:12" ht="17.25" x14ac:dyDescent="0.25">
      <c r="A95" s="2">
        <v>211</v>
      </c>
      <c r="B95" s="17" t="s">
        <v>3</v>
      </c>
      <c r="C95" s="18"/>
      <c r="D95" s="20">
        <v>24.4</v>
      </c>
      <c r="E95" s="20">
        <v>2.5</v>
      </c>
      <c r="F95" s="20">
        <f t="shared" si="7"/>
        <v>61</v>
      </c>
      <c r="G95" s="19">
        <f>I95/F95</f>
        <v>4.032</v>
      </c>
      <c r="H95" s="19">
        <f>J95/F95</f>
        <v>4.032</v>
      </c>
      <c r="I95" s="21">
        <f>2.8*3600/1000*D95</f>
        <v>245.952</v>
      </c>
      <c r="J95" s="21">
        <f>I95</f>
        <v>245.952</v>
      </c>
      <c r="K95" s="9" t="s">
        <v>48</v>
      </c>
    </row>
    <row r="96" spans="1:12" x14ac:dyDescent="0.25">
      <c r="A96" s="2">
        <v>212</v>
      </c>
      <c r="B96" s="17" t="s">
        <v>44</v>
      </c>
      <c r="C96" s="18"/>
      <c r="D96" s="20">
        <v>8.3000000000000007</v>
      </c>
      <c r="E96" s="20">
        <v>2.5</v>
      </c>
      <c r="F96" s="20">
        <f t="shared" si="7"/>
        <v>20.75</v>
      </c>
      <c r="G96" s="19">
        <v>2</v>
      </c>
      <c r="H96" s="19">
        <v>2</v>
      </c>
      <c r="I96" s="21">
        <f>G96*F96</f>
        <v>41.5</v>
      </c>
      <c r="J96" s="21">
        <f>F96*H96</f>
        <v>41.5</v>
      </c>
      <c r="K96" s="18"/>
    </row>
    <row r="97" spans="1:11" ht="17.25" x14ac:dyDescent="0.25">
      <c r="A97" s="2">
        <v>213</v>
      </c>
      <c r="B97" s="17" t="s">
        <v>3</v>
      </c>
      <c r="C97" s="18"/>
      <c r="D97" s="20">
        <v>26.8</v>
      </c>
      <c r="E97" s="20">
        <v>2.5</v>
      </c>
      <c r="F97" s="20">
        <f t="shared" si="7"/>
        <v>67</v>
      </c>
      <c r="G97" s="19">
        <f>I97/F97</f>
        <v>4.032</v>
      </c>
      <c r="H97" s="19">
        <f>J97/F97</f>
        <v>4.032</v>
      </c>
      <c r="I97" s="21">
        <f>2.8*3600/1000*D97</f>
        <v>270.14400000000001</v>
      </c>
      <c r="J97" s="21">
        <f>I97</f>
        <v>270.14400000000001</v>
      </c>
      <c r="K97" s="9" t="s">
        <v>48</v>
      </c>
    </row>
    <row r="98" spans="1:11" x14ac:dyDescent="0.25">
      <c r="A98" s="2">
        <v>214</v>
      </c>
      <c r="B98" s="17" t="s">
        <v>44</v>
      </c>
      <c r="C98" s="18"/>
      <c r="D98" s="20">
        <v>15</v>
      </c>
      <c r="E98" s="20">
        <v>2.5</v>
      </c>
      <c r="F98" s="20">
        <f t="shared" si="7"/>
        <v>37.5</v>
      </c>
      <c r="G98" s="19">
        <v>2</v>
      </c>
      <c r="H98" s="19">
        <v>2</v>
      </c>
      <c r="I98" s="21">
        <f>G98*F98</f>
        <v>75</v>
      </c>
      <c r="J98" s="21">
        <f>F98*H98</f>
        <v>75</v>
      </c>
      <c r="K98" s="18"/>
    </row>
    <row r="99" spans="1:11" x14ac:dyDescent="0.25">
      <c r="A99" s="2">
        <v>215</v>
      </c>
      <c r="B99" s="17" t="s">
        <v>7</v>
      </c>
      <c r="C99" s="18"/>
      <c r="D99" s="20">
        <v>1.3</v>
      </c>
      <c r="E99" s="20">
        <v>2.5</v>
      </c>
      <c r="F99" s="20">
        <f t="shared" si="7"/>
        <v>3.25</v>
      </c>
      <c r="G99" s="19" t="s">
        <v>47</v>
      </c>
      <c r="H99" s="19" t="s">
        <v>47</v>
      </c>
      <c r="I99" s="19" t="s">
        <v>47</v>
      </c>
      <c r="J99" s="19" t="s">
        <v>47</v>
      </c>
      <c r="K99" s="18"/>
    </row>
    <row r="100" spans="1:11" x14ac:dyDescent="0.25">
      <c r="A100" s="2">
        <v>216</v>
      </c>
      <c r="B100" s="17" t="s">
        <v>4</v>
      </c>
      <c r="C100" s="18"/>
      <c r="D100" s="20">
        <v>1.3</v>
      </c>
      <c r="E100" s="20">
        <v>2.5</v>
      </c>
      <c r="F100" s="20">
        <f t="shared" si="7"/>
        <v>3.25</v>
      </c>
      <c r="G100" s="19" t="s">
        <v>47</v>
      </c>
      <c r="H100" s="19">
        <f>J100/F100</f>
        <v>15.384615384615385</v>
      </c>
      <c r="I100" s="19" t="s">
        <v>47</v>
      </c>
      <c r="J100" s="18">
        <v>50</v>
      </c>
      <c r="K100" s="18"/>
    </row>
    <row r="101" spans="1:11" x14ac:dyDescent="0.25">
      <c r="A101" s="2">
        <v>217</v>
      </c>
      <c r="B101" s="17" t="s">
        <v>7</v>
      </c>
      <c r="C101" s="18"/>
      <c r="D101" s="20">
        <v>1.3</v>
      </c>
      <c r="E101" s="20">
        <v>2.5</v>
      </c>
      <c r="F101" s="20">
        <f t="shared" si="7"/>
        <v>3.25</v>
      </c>
      <c r="G101" s="19" t="s">
        <v>47</v>
      </c>
      <c r="H101" s="19" t="s">
        <v>47</v>
      </c>
      <c r="I101" s="19" t="s">
        <v>47</v>
      </c>
      <c r="J101" s="19" t="s">
        <v>47</v>
      </c>
      <c r="K101" s="18"/>
    </row>
    <row r="102" spans="1:11" x14ac:dyDescent="0.25">
      <c r="A102" s="2">
        <v>218</v>
      </c>
      <c r="B102" s="17" t="s">
        <v>4</v>
      </c>
      <c r="C102" s="18"/>
      <c r="D102" s="20">
        <v>1.3</v>
      </c>
      <c r="E102" s="20">
        <v>2.5</v>
      </c>
      <c r="F102" s="20">
        <f t="shared" si="7"/>
        <v>3.25</v>
      </c>
      <c r="G102" s="19" t="s">
        <v>47</v>
      </c>
      <c r="H102" s="19">
        <f>J102/F102</f>
        <v>15.384615384615385</v>
      </c>
      <c r="I102" s="19" t="s">
        <v>47</v>
      </c>
      <c r="J102" s="18">
        <v>50</v>
      </c>
      <c r="K102" s="18"/>
    </row>
    <row r="103" spans="1:11" ht="17.25" x14ac:dyDescent="0.25">
      <c r="A103" s="2">
        <v>219</v>
      </c>
      <c r="B103" s="17" t="s">
        <v>3</v>
      </c>
      <c r="C103" s="18"/>
      <c r="D103" s="20">
        <v>22.1</v>
      </c>
      <c r="E103" s="20">
        <v>2.5</v>
      </c>
      <c r="F103" s="20">
        <f t="shared" si="7"/>
        <v>55.25</v>
      </c>
      <c r="G103" s="19">
        <f>I103/F103</f>
        <v>4.0320000000000009</v>
      </c>
      <c r="H103" s="19">
        <f>J103/F103</f>
        <v>4.0320000000000009</v>
      </c>
      <c r="I103" s="21">
        <f>2.8*3600/1000*D103</f>
        <v>222.76800000000003</v>
      </c>
      <c r="J103" s="21">
        <f t="shared" ref="J103:J105" si="8">I103</f>
        <v>222.76800000000003</v>
      </c>
      <c r="K103" s="9" t="s">
        <v>48</v>
      </c>
    </row>
    <row r="104" spans="1:11" ht="17.25" x14ac:dyDescent="0.25">
      <c r="A104" s="2">
        <v>220</v>
      </c>
      <c r="B104" s="17" t="s">
        <v>3</v>
      </c>
      <c r="C104" s="18"/>
      <c r="D104" s="20">
        <v>27.6</v>
      </c>
      <c r="E104" s="20">
        <v>2.5</v>
      </c>
      <c r="F104" s="20">
        <f t="shared" si="7"/>
        <v>69</v>
      </c>
      <c r="G104" s="19">
        <f>I104/F104</f>
        <v>4.032</v>
      </c>
      <c r="H104" s="19">
        <f>J104/F104</f>
        <v>4.032</v>
      </c>
      <c r="I104" s="21">
        <f>2.8*3600/1000*D104</f>
        <v>278.20800000000003</v>
      </c>
      <c r="J104" s="21">
        <f t="shared" si="8"/>
        <v>278.20800000000003</v>
      </c>
      <c r="K104" s="9" t="s">
        <v>48</v>
      </c>
    </row>
    <row r="105" spans="1:11" ht="17.25" x14ac:dyDescent="0.25">
      <c r="A105" s="2">
        <v>221</v>
      </c>
      <c r="B105" s="17" t="s">
        <v>3</v>
      </c>
      <c r="C105" s="18"/>
      <c r="D105" s="20">
        <v>34.6</v>
      </c>
      <c r="E105" s="20">
        <v>2.5</v>
      </c>
      <c r="F105" s="20">
        <f t="shared" si="7"/>
        <v>86.5</v>
      </c>
      <c r="G105" s="19">
        <f>I105/F105</f>
        <v>4.032</v>
      </c>
      <c r="H105" s="19">
        <f>J105/F105</f>
        <v>4.032</v>
      </c>
      <c r="I105" s="21">
        <f>2.8*3600/1000*D105</f>
        <v>348.76800000000003</v>
      </c>
      <c r="J105" s="21">
        <f t="shared" si="8"/>
        <v>348.76800000000003</v>
      </c>
      <c r="K105" s="9" t="s">
        <v>48</v>
      </c>
    </row>
    <row r="106" spans="1:11" x14ac:dyDescent="0.25">
      <c r="A106" s="2">
        <v>222</v>
      </c>
      <c r="B106" s="17" t="s">
        <v>6</v>
      </c>
      <c r="C106" s="18"/>
      <c r="D106" s="20">
        <v>9.5</v>
      </c>
      <c r="E106" s="20">
        <v>2.5</v>
      </c>
      <c r="F106" s="20">
        <f t="shared" si="7"/>
        <v>23.75</v>
      </c>
      <c r="G106" s="19">
        <v>2</v>
      </c>
      <c r="H106" s="19">
        <v>2</v>
      </c>
      <c r="I106" s="21">
        <f>G106*F106</f>
        <v>47.5</v>
      </c>
      <c r="J106" s="21">
        <f>F106*H106</f>
        <v>47.5</v>
      </c>
      <c r="K106" s="41"/>
    </row>
    <row r="107" spans="1:11" ht="17.25" x14ac:dyDescent="0.25">
      <c r="A107" s="2">
        <v>223</v>
      </c>
      <c r="B107" s="17" t="s">
        <v>3</v>
      </c>
      <c r="C107" s="18"/>
      <c r="D107" s="20">
        <v>28.1</v>
      </c>
      <c r="E107" s="20">
        <v>2.5</v>
      </c>
      <c r="F107" s="20">
        <f t="shared" si="7"/>
        <v>70.25</v>
      </c>
      <c r="G107" s="19">
        <f>I107/F107</f>
        <v>4.032</v>
      </c>
      <c r="H107" s="19">
        <f>J107/F107</f>
        <v>4.032</v>
      </c>
      <c r="I107" s="21">
        <f>2.8*3600/1000*D107</f>
        <v>283.24799999999999</v>
      </c>
      <c r="J107" s="21">
        <f>I107</f>
        <v>283.24799999999999</v>
      </c>
      <c r="K107" s="40" t="s">
        <v>48</v>
      </c>
    </row>
    <row r="108" spans="1:11" ht="17.25" x14ac:dyDescent="0.25">
      <c r="A108" s="2">
        <v>224</v>
      </c>
      <c r="B108" s="17" t="s">
        <v>45</v>
      </c>
      <c r="C108" s="18"/>
      <c r="D108" s="20">
        <v>75.5</v>
      </c>
      <c r="E108" s="20">
        <v>2.5</v>
      </c>
      <c r="F108" s="20">
        <f t="shared" si="7"/>
        <v>188.75</v>
      </c>
      <c r="G108" s="19">
        <f>I108/F108</f>
        <v>6.048</v>
      </c>
      <c r="H108" s="19">
        <f>J108/F108</f>
        <v>6.048</v>
      </c>
      <c r="I108" s="21">
        <f>4.2*3600/1000*D108</f>
        <v>1141.56</v>
      </c>
      <c r="J108" s="21">
        <f t="shared" ref="J108" si="9">I108</f>
        <v>1141.56</v>
      </c>
      <c r="K108" s="40" t="s">
        <v>53</v>
      </c>
    </row>
    <row r="109" spans="1:11" x14ac:dyDescent="0.25">
      <c r="A109" s="49">
        <v>225</v>
      </c>
      <c r="B109" s="17" t="s">
        <v>2</v>
      </c>
      <c r="C109" s="18"/>
      <c r="D109" s="20">
        <v>9.6</v>
      </c>
      <c r="E109" s="20">
        <v>2.5</v>
      </c>
      <c r="F109" s="20">
        <f t="shared" si="7"/>
        <v>24</v>
      </c>
      <c r="G109" s="19">
        <f>I109/F109</f>
        <v>2.5</v>
      </c>
      <c r="H109" s="19" t="s">
        <v>47</v>
      </c>
      <c r="I109" s="51">
        <v>60</v>
      </c>
      <c r="J109" s="19" t="s">
        <v>47</v>
      </c>
      <c r="K109" s="50"/>
    </row>
    <row r="110" spans="1:11" x14ac:dyDescent="0.25">
      <c r="A110" s="2">
        <v>226</v>
      </c>
      <c r="B110" s="17" t="s">
        <v>54</v>
      </c>
      <c r="C110" s="18"/>
      <c r="D110" s="20">
        <v>11.6</v>
      </c>
      <c r="E110" s="20">
        <v>2.5</v>
      </c>
      <c r="F110" s="20">
        <f t="shared" si="7"/>
        <v>29</v>
      </c>
      <c r="G110" s="19">
        <f>H110*0.8</f>
        <v>2.4000000000000004</v>
      </c>
      <c r="H110" s="19">
        <v>3</v>
      </c>
      <c r="I110" s="21">
        <f>F110*G110</f>
        <v>69.600000000000009</v>
      </c>
      <c r="J110" s="21">
        <v>90</v>
      </c>
      <c r="K110" s="40"/>
    </row>
    <row r="111" spans="1:11" x14ac:dyDescent="0.25">
      <c r="A111" s="2">
        <v>227</v>
      </c>
      <c r="B111" s="17" t="s">
        <v>6</v>
      </c>
      <c r="C111" s="18"/>
      <c r="D111" s="20">
        <v>1.8</v>
      </c>
      <c r="E111" s="20">
        <v>2.5</v>
      </c>
      <c r="F111" s="20">
        <f t="shared" si="7"/>
        <v>4.5</v>
      </c>
      <c r="G111" s="19" t="s">
        <v>47</v>
      </c>
      <c r="H111" s="19">
        <v>2</v>
      </c>
      <c r="I111" s="19" t="s">
        <v>47</v>
      </c>
      <c r="J111" s="51">
        <v>10</v>
      </c>
      <c r="K111" s="18"/>
    </row>
    <row r="112" spans="1:11" x14ac:dyDescent="0.25">
      <c r="A112" s="2">
        <v>228</v>
      </c>
      <c r="B112" s="17" t="s">
        <v>2</v>
      </c>
      <c r="C112" s="18"/>
      <c r="D112" s="20">
        <v>2.9</v>
      </c>
      <c r="E112" s="20">
        <v>2.5</v>
      </c>
      <c r="F112" s="20">
        <f t="shared" si="7"/>
        <v>7.25</v>
      </c>
      <c r="G112" s="19" t="s">
        <v>47</v>
      </c>
      <c r="H112" s="19" t="s">
        <v>47</v>
      </c>
      <c r="I112" s="19" t="s">
        <v>47</v>
      </c>
      <c r="J112" s="19" t="s">
        <v>47</v>
      </c>
      <c r="K112" s="18"/>
    </row>
    <row r="113" spans="1:12" ht="17.25" x14ac:dyDescent="0.25">
      <c r="A113" s="2">
        <v>229</v>
      </c>
      <c r="B113" s="17" t="s">
        <v>3</v>
      </c>
      <c r="C113" s="18"/>
      <c r="D113" s="20">
        <v>57.7</v>
      </c>
      <c r="E113" s="20">
        <v>2.5</v>
      </c>
      <c r="F113" s="20">
        <f t="shared" si="7"/>
        <v>144.25</v>
      </c>
      <c r="G113" s="19">
        <f>I113/F113</f>
        <v>4.032</v>
      </c>
      <c r="H113" s="19">
        <f>J113/F113</f>
        <v>4.032</v>
      </c>
      <c r="I113" s="21">
        <f>2.8*3600/1000*D113</f>
        <v>581.61599999999999</v>
      </c>
      <c r="J113" s="21">
        <f>I113</f>
        <v>581.61599999999999</v>
      </c>
      <c r="K113" s="9" t="s">
        <v>48</v>
      </c>
    </row>
    <row r="114" spans="1:12" ht="17.25" x14ac:dyDescent="0.25">
      <c r="A114" s="2">
        <v>230</v>
      </c>
      <c r="B114" s="17" t="s">
        <v>3</v>
      </c>
      <c r="C114" s="18"/>
      <c r="D114" s="20">
        <v>57</v>
      </c>
      <c r="E114" s="20">
        <v>2.5</v>
      </c>
      <c r="F114" s="20">
        <f t="shared" si="7"/>
        <v>142.5</v>
      </c>
      <c r="G114" s="19">
        <f>I114/F114</f>
        <v>4.032</v>
      </c>
      <c r="H114" s="19">
        <f>J114/F114</f>
        <v>4.032</v>
      </c>
      <c r="I114" s="21">
        <f>2.8*3600/1000*D114</f>
        <v>574.56000000000006</v>
      </c>
      <c r="J114" s="21">
        <f t="shared" ref="J114" si="10">I114</f>
        <v>574.56000000000006</v>
      </c>
      <c r="K114" s="9" t="s">
        <v>48</v>
      </c>
    </row>
    <row r="115" spans="1:12" x14ac:dyDescent="0.25">
      <c r="A115" s="2">
        <v>231</v>
      </c>
      <c r="B115" s="17" t="s">
        <v>55</v>
      </c>
      <c r="C115" s="18"/>
      <c r="D115" s="20">
        <v>14.1</v>
      </c>
      <c r="E115" s="20">
        <v>2.5</v>
      </c>
      <c r="F115" s="20">
        <f t="shared" si="7"/>
        <v>35.25</v>
      </c>
      <c r="G115" s="19">
        <f>I115/F115</f>
        <v>4.2553191489361701</v>
      </c>
      <c r="H115" s="19">
        <f>J115/F115</f>
        <v>4.2553191489361701</v>
      </c>
      <c r="I115" s="18">
        <v>150</v>
      </c>
      <c r="J115" s="18">
        <v>150</v>
      </c>
      <c r="K115" s="18"/>
    </row>
    <row r="116" spans="1:12" x14ac:dyDescent="0.25">
      <c r="A116" s="2">
        <v>232</v>
      </c>
      <c r="B116" s="17" t="s">
        <v>7</v>
      </c>
      <c r="C116" s="18"/>
      <c r="D116" s="20">
        <v>2.1</v>
      </c>
      <c r="E116" s="20">
        <v>2.5</v>
      </c>
      <c r="F116" s="20">
        <f t="shared" si="7"/>
        <v>5.25</v>
      </c>
      <c r="G116" s="19" t="s">
        <v>47</v>
      </c>
      <c r="H116" s="19" t="s">
        <v>47</v>
      </c>
      <c r="I116" s="19" t="s">
        <v>47</v>
      </c>
      <c r="J116" s="19" t="s">
        <v>47</v>
      </c>
      <c r="K116" s="18"/>
    </row>
    <row r="117" spans="1:12" x14ac:dyDescent="0.25">
      <c r="A117" s="2">
        <v>233</v>
      </c>
      <c r="B117" s="17" t="s">
        <v>4</v>
      </c>
      <c r="C117" s="18"/>
      <c r="D117" s="20">
        <v>2.9</v>
      </c>
      <c r="E117" s="20">
        <v>2.5</v>
      </c>
      <c r="F117" s="20">
        <f t="shared" si="7"/>
        <v>7.25</v>
      </c>
      <c r="G117" s="19" t="s">
        <v>47</v>
      </c>
      <c r="H117" s="19">
        <f>J117/F117</f>
        <v>6.8965517241379306</v>
      </c>
      <c r="I117" s="19" t="s">
        <v>47</v>
      </c>
      <c r="J117" s="18">
        <v>50</v>
      </c>
      <c r="K117" s="18"/>
    </row>
    <row r="118" spans="1:12" x14ac:dyDescent="0.25">
      <c r="A118" s="2">
        <v>234</v>
      </c>
      <c r="B118" s="17" t="s">
        <v>44</v>
      </c>
      <c r="C118" s="18"/>
      <c r="D118" s="20">
        <v>15.3</v>
      </c>
      <c r="E118" s="20">
        <v>2.5</v>
      </c>
      <c r="F118" s="20">
        <f t="shared" ref="F118" si="11">D118*E118</f>
        <v>38.25</v>
      </c>
      <c r="G118" s="19">
        <v>2</v>
      </c>
      <c r="H118" s="19">
        <v>2</v>
      </c>
      <c r="I118" s="21">
        <f>G118*F118</f>
        <v>76.5</v>
      </c>
      <c r="J118" s="21">
        <f>F118*H118</f>
        <v>76.5</v>
      </c>
      <c r="K118" s="18"/>
    </row>
    <row r="119" spans="1:12" ht="17.25" x14ac:dyDescent="0.25">
      <c r="A119" s="2">
        <v>235</v>
      </c>
      <c r="B119" s="17" t="s">
        <v>3</v>
      </c>
      <c r="C119" s="18"/>
      <c r="D119" s="20">
        <v>58.4</v>
      </c>
      <c r="E119" s="20">
        <v>2.5</v>
      </c>
      <c r="F119" s="20">
        <f t="shared" si="7"/>
        <v>146</v>
      </c>
      <c r="G119" s="19">
        <f>I119/F119</f>
        <v>4.032</v>
      </c>
      <c r="H119" s="19">
        <f>J119/F119</f>
        <v>4.032</v>
      </c>
      <c r="I119" s="21">
        <f>2.8*3600/1000*D119</f>
        <v>588.67200000000003</v>
      </c>
      <c r="J119" s="21">
        <f>I119</f>
        <v>588.67200000000003</v>
      </c>
      <c r="K119" s="9" t="s">
        <v>48</v>
      </c>
      <c r="L119" s="14"/>
    </row>
    <row r="120" spans="1:12" ht="17.25" x14ac:dyDescent="0.25">
      <c r="A120" s="2">
        <v>236</v>
      </c>
      <c r="B120" s="17" t="s">
        <v>3</v>
      </c>
      <c r="C120" s="18"/>
      <c r="D120" s="20">
        <v>57.4</v>
      </c>
      <c r="E120" s="20">
        <v>2.5</v>
      </c>
      <c r="F120" s="20">
        <f t="shared" si="7"/>
        <v>143.5</v>
      </c>
      <c r="G120" s="19">
        <f>I120/F120</f>
        <v>4.032</v>
      </c>
      <c r="H120" s="19">
        <f>J120/F120</f>
        <v>4.032</v>
      </c>
      <c r="I120" s="21">
        <f>2.8*3600/1000*D120</f>
        <v>578.59199999999998</v>
      </c>
      <c r="J120" s="21">
        <f t="shared" ref="J120" si="12">I120</f>
        <v>578.59199999999998</v>
      </c>
      <c r="K120" s="9" t="s">
        <v>48</v>
      </c>
    </row>
    <row r="121" spans="1:12" x14ac:dyDescent="0.25">
      <c r="A121" s="2">
        <v>237</v>
      </c>
      <c r="B121" s="17" t="s">
        <v>55</v>
      </c>
      <c r="C121" s="18"/>
      <c r="D121" s="20">
        <v>13.2</v>
      </c>
      <c r="E121" s="20">
        <v>2.5</v>
      </c>
      <c r="F121" s="20">
        <f t="shared" si="7"/>
        <v>33</v>
      </c>
      <c r="G121" s="19">
        <f>I121/F121</f>
        <v>4.5454545454545459</v>
      </c>
      <c r="H121" s="19">
        <f>J121/F121</f>
        <v>4.5454545454545459</v>
      </c>
      <c r="I121" s="21">
        <v>150</v>
      </c>
      <c r="J121" s="18">
        <v>150</v>
      </c>
      <c r="K121" s="18"/>
    </row>
    <row r="122" spans="1:12" x14ac:dyDescent="0.25">
      <c r="A122" s="2">
        <v>239</v>
      </c>
      <c r="B122" s="17" t="s">
        <v>56</v>
      </c>
      <c r="C122" s="18"/>
      <c r="D122" s="20">
        <v>3.5</v>
      </c>
      <c r="E122" s="20">
        <v>2.5</v>
      </c>
      <c r="F122" s="20">
        <f t="shared" si="7"/>
        <v>8.75</v>
      </c>
      <c r="G122" s="19" t="s">
        <v>47</v>
      </c>
      <c r="H122" s="19">
        <f>J122/F122</f>
        <v>5.7142857142857144</v>
      </c>
      <c r="I122" s="19" t="s">
        <v>47</v>
      </c>
      <c r="J122" s="21">
        <v>50</v>
      </c>
      <c r="K122" s="18"/>
    </row>
    <row r="123" spans="1:12" ht="15.75" thickBot="1" x14ac:dyDescent="0.3">
      <c r="A123" s="52">
        <v>240</v>
      </c>
      <c r="B123" s="53" t="s">
        <v>1</v>
      </c>
      <c r="C123" s="54"/>
      <c r="D123" s="55">
        <v>20.100000000000001</v>
      </c>
      <c r="E123" s="55">
        <v>2.5</v>
      </c>
      <c r="F123" s="55">
        <f t="shared" si="7"/>
        <v>50.25</v>
      </c>
      <c r="G123" s="56" t="s">
        <v>47</v>
      </c>
      <c r="H123" s="56" t="s">
        <v>47</v>
      </c>
      <c r="I123" s="56" t="s">
        <v>47</v>
      </c>
      <c r="J123" s="56" t="s">
        <v>47</v>
      </c>
      <c r="K123" s="54"/>
    </row>
    <row r="124" spans="1:12" x14ac:dyDescent="0.25">
      <c r="A124" s="16"/>
      <c r="B124" s="31"/>
      <c r="C124" s="28"/>
      <c r="D124" s="207">
        <f>SUM(D85:D123)</f>
        <v>727.7</v>
      </c>
      <c r="E124" s="210"/>
      <c r="F124" s="46">
        <f>SUM(F85:F123)</f>
        <v>1819.25</v>
      </c>
      <c r="G124" s="208"/>
      <c r="H124" s="208"/>
      <c r="I124" s="46">
        <f t="shared" ref="I124:J124" si="13">SUM(I85:I123)</f>
        <v>6492.9839999999995</v>
      </c>
      <c r="J124" s="46">
        <f t="shared" si="13"/>
        <v>6563.3840000000009</v>
      </c>
      <c r="K124" s="28"/>
    </row>
    <row r="125" spans="1:12" x14ac:dyDescent="0.25">
      <c r="A125" s="2"/>
      <c r="B125" s="17"/>
      <c r="C125" s="17"/>
      <c r="D125" s="18"/>
      <c r="E125" s="18"/>
      <c r="F125" s="19"/>
      <c r="G125" s="19"/>
      <c r="H125" s="19"/>
      <c r="I125" s="19"/>
      <c r="J125" s="19"/>
      <c r="K125" s="18"/>
      <c r="L125" s="14"/>
    </row>
    <row r="126" spans="1:12" x14ac:dyDescent="0.25">
      <c r="A126" s="2"/>
      <c r="B126" s="10" t="s">
        <v>46</v>
      </c>
      <c r="C126" s="34"/>
      <c r="D126" s="19"/>
      <c r="E126" s="18"/>
      <c r="F126" s="19"/>
      <c r="G126" s="19"/>
      <c r="H126" s="19"/>
      <c r="I126" s="19"/>
      <c r="J126" s="19"/>
      <c r="K126" s="18"/>
      <c r="L126" s="14"/>
    </row>
    <row r="127" spans="1:12" x14ac:dyDescent="0.25">
      <c r="A127" s="18">
        <v>301</v>
      </c>
      <c r="B127" s="17" t="s">
        <v>5</v>
      </c>
      <c r="C127" s="35"/>
      <c r="D127" s="20">
        <v>47.3</v>
      </c>
      <c r="E127" s="18">
        <v>2.75</v>
      </c>
      <c r="F127" s="20">
        <f>D127*E127</f>
        <v>130.07499999999999</v>
      </c>
      <c r="G127" s="19"/>
      <c r="H127" s="19">
        <v>0.5</v>
      </c>
      <c r="I127" s="19"/>
      <c r="J127" s="21">
        <f>F127*H127</f>
        <v>65.037499999999994</v>
      </c>
      <c r="K127" s="18"/>
      <c r="L127" s="14"/>
    </row>
    <row r="128" spans="1:12" ht="15.75" thickBot="1" x14ac:dyDescent="0.3">
      <c r="A128" s="12">
        <v>302</v>
      </c>
      <c r="B128" s="23" t="s">
        <v>5</v>
      </c>
      <c r="C128" s="23"/>
      <c r="D128" s="25">
        <v>22.9</v>
      </c>
      <c r="E128" s="24">
        <v>2.75</v>
      </c>
      <c r="F128" s="25">
        <f>D128*E128</f>
        <v>62.974999999999994</v>
      </c>
      <c r="G128" s="24"/>
      <c r="H128" s="24">
        <v>0.5</v>
      </c>
      <c r="I128" s="24"/>
      <c r="J128" s="27">
        <f>F128*H128</f>
        <v>31.487499999999997</v>
      </c>
      <c r="K128" s="24"/>
    </row>
    <row r="129" spans="1:13" x14ac:dyDescent="0.25">
      <c r="A129" s="16"/>
      <c r="B129" s="31"/>
      <c r="C129" s="31"/>
      <c r="D129" s="207">
        <f>SUM(D127:D128)</f>
        <v>70.199999999999989</v>
      </c>
      <c r="E129" s="210"/>
      <c r="F129" s="46">
        <f>SUM(F127:F128)</f>
        <v>193.04999999999998</v>
      </c>
      <c r="G129" s="210"/>
      <c r="H129" s="210"/>
      <c r="I129" s="46">
        <f t="shared" ref="I129:J129" si="14">SUM(I127:I128)</f>
        <v>0</v>
      </c>
      <c r="J129" s="46">
        <f t="shared" si="14"/>
        <v>96.524999999999991</v>
      </c>
      <c r="K129" s="28"/>
    </row>
    <row r="130" spans="1:13" x14ac:dyDescent="0.25">
      <c r="A130" s="2"/>
      <c r="B130" s="9"/>
      <c r="C130" s="9"/>
      <c r="D130" s="9"/>
      <c r="E130" s="9"/>
      <c r="F130" s="9"/>
      <c r="G130" s="9"/>
      <c r="H130" s="9"/>
      <c r="I130" s="9"/>
      <c r="J130" s="9"/>
      <c r="K130" s="9"/>
    </row>
    <row r="131" spans="1:13" ht="15.75" thickBot="1" x14ac:dyDescent="0.3">
      <c r="A131" s="12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M131" s="209"/>
    </row>
    <row r="132" spans="1:13" x14ac:dyDescent="0.25">
      <c r="A132" s="16"/>
      <c r="B132" s="206" t="s">
        <v>546</v>
      </c>
      <c r="C132" s="11"/>
      <c r="D132" s="207">
        <f>D129+D124+D82+D30</f>
        <v>2207.4059999999999</v>
      </c>
      <c r="E132" s="205"/>
      <c r="F132" s="46">
        <f>F129+F124+F82+F30</f>
        <v>5316.9124999999995</v>
      </c>
      <c r="G132" s="205"/>
      <c r="H132" s="205"/>
      <c r="I132" s="46">
        <f t="shared" ref="I132:J132" si="15">I129+I124+I82+I30</f>
        <v>16177.552</v>
      </c>
      <c r="J132" s="46">
        <f t="shared" si="15"/>
        <v>16199.677000000001</v>
      </c>
      <c r="K132" s="11"/>
    </row>
    <row r="133" spans="1:13" x14ac:dyDescent="0.25">
      <c r="A133" s="2"/>
      <c r="B133" s="9"/>
      <c r="C133" s="9"/>
      <c r="D133" s="9"/>
      <c r="E133" s="9"/>
      <c r="F133" s="9"/>
      <c r="G133" s="9"/>
      <c r="H133" s="9"/>
      <c r="I133" s="9"/>
      <c r="J133" s="9"/>
      <c r="K133" s="9"/>
    </row>
  </sheetData>
  <mergeCells count="7">
    <mergeCell ref="K2:K3"/>
    <mergeCell ref="A2:A3"/>
    <mergeCell ref="B2:B3"/>
    <mergeCell ref="D2:F2"/>
    <mergeCell ref="G2:H2"/>
    <mergeCell ref="I2:J2"/>
    <mergeCell ref="C2:C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&amp;CVilces sākumskolas ēkas vienkāršota atjaunošana.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9"/>
  <sheetViews>
    <sheetView workbookViewId="0">
      <pane ySplit="630" activePane="bottomLeft"/>
      <selection activeCell="G1" sqref="G1:U1048576"/>
      <selection pane="bottomLeft" sqref="A1:XFD7"/>
    </sheetView>
  </sheetViews>
  <sheetFormatPr defaultRowHeight="12.75" x14ac:dyDescent="0.2"/>
  <cols>
    <col min="1" max="1" width="3.85546875" style="61" customWidth="1"/>
    <col min="2" max="2" width="39.42578125" style="61" customWidth="1"/>
    <col min="3" max="3" width="19.5703125" style="61" customWidth="1"/>
    <col min="4" max="4" width="6.7109375" style="61" customWidth="1"/>
    <col min="5" max="5" width="7.28515625" style="60" bestFit="1" customWidth="1"/>
    <col min="6" max="6" width="9.5703125" style="61" customWidth="1"/>
    <col min="7" max="7" width="9.140625" style="61"/>
    <col min="8" max="8" width="9.140625" style="61" customWidth="1"/>
    <col min="9" max="254" width="9.140625" style="61"/>
    <col min="255" max="255" width="5.28515625" style="61" bestFit="1" customWidth="1"/>
    <col min="256" max="256" width="44.5703125" style="61" customWidth="1"/>
    <col min="257" max="257" width="23.7109375" style="61" customWidth="1"/>
    <col min="258" max="258" width="6.7109375" style="61" customWidth="1"/>
    <col min="259" max="259" width="7.28515625" style="61" bestFit="1" customWidth="1"/>
    <col min="260" max="261" width="9.140625" style="61"/>
    <col min="262" max="262" width="45.7109375" style="61" customWidth="1"/>
    <col min="263" max="510" width="9.140625" style="61"/>
    <col min="511" max="511" width="5.28515625" style="61" bestFit="1" customWidth="1"/>
    <col min="512" max="512" width="44.5703125" style="61" customWidth="1"/>
    <col min="513" max="513" width="23.7109375" style="61" customWidth="1"/>
    <col min="514" max="514" width="6.7109375" style="61" customWidth="1"/>
    <col min="515" max="515" width="7.28515625" style="61" bestFit="1" customWidth="1"/>
    <col min="516" max="517" width="9.140625" style="61"/>
    <col min="518" max="518" width="45.7109375" style="61" customWidth="1"/>
    <col min="519" max="766" width="9.140625" style="61"/>
    <col min="767" max="767" width="5.28515625" style="61" bestFit="1" customWidth="1"/>
    <col min="768" max="768" width="44.5703125" style="61" customWidth="1"/>
    <col min="769" max="769" width="23.7109375" style="61" customWidth="1"/>
    <col min="770" max="770" width="6.7109375" style="61" customWidth="1"/>
    <col min="771" max="771" width="7.28515625" style="61" bestFit="1" customWidth="1"/>
    <col min="772" max="773" width="9.140625" style="61"/>
    <col min="774" max="774" width="45.7109375" style="61" customWidth="1"/>
    <col min="775" max="1022" width="9.140625" style="61"/>
    <col min="1023" max="1023" width="5.28515625" style="61" bestFit="1" customWidth="1"/>
    <col min="1024" max="1024" width="44.5703125" style="61" customWidth="1"/>
    <col min="1025" max="1025" width="23.7109375" style="61" customWidth="1"/>
    <col min="1026" max="1026" width="6.7109375" style="61" customWidth="1"/>
    <col min="1027" max="1027" width="7.28515625" style="61" bestFit="1" customWidth="1"/>
    <col min="1028" max="1029" width="9.140625" style="61"/>
    <col min="1030" max="1030" width="45.7109375" style="61" customWidth="1"/>
    <col min="1031" max="1278" width="9.140625" style="61"/>
    <col min="1279" max="1279" width="5.28515625" style="61" bestFit="1" customWidth="1"/>
    <col min="1280" max="1280" width="44.5703125" style="61" customWidth="1"/>
    <col min="1281" max="1281" width="23.7109375" style="61" customWidth="1"/>
    <col min="1282" max="1282" width="6.7109375" style="61" customWidth="1"/>
    <col min="1283" max="1283" width="7.28515625" style="61" bestFit="1" customWidth="1"/>
    <col min="1284" max="1285" width="9.140625" style="61"/>
    <col min="1286" max="1286" width="45.7109375" style="61" customWidth="1"/>
    <col min="1287" max="1534" width="9.140625" style="61"/>
    <col min="1535" max="1535" width="5.28515625" style="61" bestFit="1" customWidth="1"/>
    <col min="1536" max="1536" width="44.5703125" style="61" customWidth="1"/>
    <col min="1537" max="1537" width="23.7109375" style="61" customWidth="1"/>
    <col min="1538" max="1538" width="6.7109375" style="61" customWidth="1"/>
    <col min="1539" max="1539" width="7.28515625" style="61" bestFit="1" customWidth="1"/>
    <col min="1540" max="1541" width="9.140625" style="61"/>
    <col min="1542" max="1542" width="45.7109375" style="61" customWidth="1"/>
    <col min="1543" max="1790" width="9.140625" style="61"/>
    <col min="1791" max="1791" width="5.28515625" style="61" bestFit="1" customWidth="1"/>
    <col min="1792" max="1792" width="44.5703125" style="61" customWidth="1"/>
    <col min="1793" max="1793" width="23.7109375" style="61" customWidth="1"/>
    <col min="1794" max="1794" width="6.7109375" style="61" customWidth="1"/>
    <col min="1795" max="1795" width="7.28515625" style="61" bestFit="1" customWidth="1"/>
    <col min="1796" max="1797" width="9.140625" style="61"/>
    <col min="1798" max="1798" width="45.7109375" style="61" customWidth="1"/>
    <col min="1799" max="2046" width="9.140625" style="61"/>
    <col min="2047" max="2047" width="5.28515625" style="61" bestFit="1" customWidth="1"/>
    <col min="2048" max="2048" width="44.5703125" style="61" customWidth="1"/>
    <col min="2049" max="2049" width="23.7109375" style="61" customWidth="1"/>
    <col min="2050" max="2050" width="6.7109375" style="61" customWidth="1"/>
    <col min="2051" max="2051" width="7.28515625" style="61" bestFit="1" customWidth="1"/>
    <col min="2052" max="2053" width="9.140625" style="61"/>
    <col min="2054" max="2054" width="45.7109375" style="61" customWidth="1"/>
    <col min="2055" max="2302" width="9.140625" style="61"/>
    <col min="2303" max="2303" width="5.28515625" style="61" bestFit="1" customWidth="1"/>
    <col min="2304" max="2304" width="44.5703125" style="61" customWidth="1"/>
    <col min="2305" max="2305" width="23.7109375" style="61" customWidth="1"/>
    <col min="2306" max="2306" width="6.7109375" style="61" customWidth="1"/>
    <col min="2307" max="2307" width="7.28515625" style="61" bestFit="1" customWidth="1"/>
    <col min="2308" max="2309" width="9.140625" style="61"/>
    <col min="2310" max="2310" width="45.7109375" style="61" customWidth="1"/>
    <col min="2311" max="2558" width="9.140625" style="61"/>
    <col min="2559" max="2559" width="5.28515625" style="61" bestFit="1" customWidth="1"/>
    <col min="2560" max="2560" width="44.5703125" style="61" customWidth="1"/>
    <col min="2561" max="2561" width="23.7109375" style="61" customWidth="1"/>
    <col min="2562" max="2562" width="6.7109375" style="61" customWidth="1"/>
    <col min="2563" max="2563" width="7.28515625" style="61" bestFit="1" customWidth="1"/>
    <col min="2564" max="2565" width="9.140625" style="61"/>
    <col min="2566" max="2566" width="45.7109375" style="61" customWidth="1"/>
    <col min="2567" max="2814" width="9.140625" style="61"/>
    <col min="2815" max="2815" width="5.28515625" style="61" bestFit="1" customWidth="1"/>
    <col min="2816" max="2816" width="44.5703125" style="61" customWidth="1"/>
    <col min="2817" max="2817" width="23.7109375" style="61" customWidth="1"/>
    <col min="2818" max="2818" width="6.7109375" style="61" customWidth="1"/>
    <col min="2819" max="2819" width="7.28515625" style="61" bestFit="1" customWidth="1"/>
    <col min="2820" max="2821" width="9.140625" style="61"/>
    <col min="2822" max="2822" width="45.7109375" style="61" customWidth="1"/>
    <col min="2823" max="3070" width="9.140625" style="61"/>
    <col min="3071" max="3071" width="5.28515625" style="61" bestFit="1" customWidth="1"/>
    <col min="3072" max="3072" width="44.5703125" style="61" customWidth="1"/>
    <col min="3073" max="3073" width="23.7109375" style="61" customWidth="1"/>
    <col min="3074" max="3074" width="6.7109375" style="61" customWidth="1"/>
    <col min="3075" max="3075" width="7.28515625" style="61" bestFit="1" customWidth="1"/>
    <col min="3076" max="3077" width="9.140625" style="61"/>
    <col min="3078" max="3078" width="45.7109375" style="61" customWidth="1"/>
    <col min="3079" max="3326" width="9.140625" style="61"/>
    <col min="3327" max="3327" width="5.28515625" style="61" bestFit="1" customWidth="1"/>
    <col min="3328" max="3328" width="44.5703125" style="61" customWidth="1"/>
    <col min="3329" max="3329" width="23.7109375" style="61" customWidth="1"/>
    <col min="3330" max="3330" width="6.7109375" style="61" customWidth="1"/>
    <col min="3331" max="3331" width="7.28515625" style="61" bestFit="1" customWidth="1"/>
    <col min="3332" max="3333" width="9.140625" style="61"/>
    <col min="3334" max="3334" width="45.7109375" style="61" customWidth="1"/>
    <col min="3335" max="3582" width="9.140625" style="61"/>
    <col min="3583" max="3583" width="5.28515625" style="61" bestFit="1" customWidth="1"/>
    <col min="3584" max="3584" width="44.5703125" style="61" customWidth="1"/>
    <col min="3585" max="3585" width="23.7109375" style="61" customWidth="1"/>
    <col min="3586" max="3586" width="6.7109375" style="61" customWidth="1"/>
    <col min="3587" max="3587" width="7.28515625" style="61" bestFit="1" customWidth="1"/>
    <col min="3588" max="3589" width="9.140625" style="61"/>
    <col min="3590" max="3590" width="45.7109375" style="61" customWidth="1"/>
    <col min="3591" max="3838" width="9.140625" style="61"/>
    <col min="3839" max="3839" width="5.28515625" style="61" bestFit="1" customWidth="1"/>
    <col min="3840" max="3840" width="44.5703125" style="61" customWidth="1"/>
    <col min="3841" max="3841" width="23.7109375" style="61" customWidth="1"/>
    <col min="3842" max="3842" width="6.7109375" style="61" customWidth="1"/>
    <col min="3843" max="3843" width="7.28515625" style="61" bestFit="1" customWidth="1"/>
    <col min="3844" max="3845" width="9.140625" style="61"/>
    <col min="3846" max="3846" width="45.7109375" style="61" customWidth="1"/>
    <col min="3847" max="4094" width="9.140625" style="61"/>
    <col min="4095" max="4095" width="5.28515625" style="61" bestFit="1" customWidth="1"/>
    <col min="4096" max="4096" width="44.5703125" style="61" customWidth="1"/>
    <col min="4097" max="4097" width="23.7109375" style="61" customWidth="1"/>
    <col min="4098" max="4098" width="6.7109375" style="61" customWidth="1"/>
    <col min="4099" max="4099" width="7.28515625" style="61" bestFit="1" customWidth="1"/>
    <col min="4100" max="4101" width="9.140625" style="61"/>
    <col min="4102" max="4102" width="45.7109375" style="61" customWidth="1"/>
    <col min="4103" max="4350" width="9.140625" style="61"/>
    <col min="4351" max="4351" width="5.28515625" style="61" bestFit="1" customWidth="1"/>
    <col min="4352" max="4352" width="44.5703125" style="61" customWidth="1"/>
    <col min="4353" max="4353" width="23.7109375" style="61" customWidth="1"/>
    <col min="4354" max="4354" width="6.7109375" style="61" customWidth="1"/>
    <col min="4355" max="4355" width="7.28515625" style="61" bestFit="1" customWidth="1"/>
    <col min="4356" max="4357" width="9.140625" style="61"/>
    <col min="4358" max="4358" width="45.7109375" style="61" customWidth="1"/>
    <col min="4359" max="4606" width="9.140625" style="61"/>
    <col min="4607" max="4607" width="5.28515625" style="61" bestFit="1" customWidth="1"/>
    <col min="4608" max="4608" width="44.5703125" style="61" customWidth="1"/>
    <col min="4609" max="4609" width="23.7109375" style="61" customWidth="1"/>
    <col min="4610" max="4610" width="6.7109375" style="61" customWidth="1"/>
    <col min="4611" max="4611" width="7.28515625" style="61" bestFit="1" customWidth="1"/>
    <col min="4612" max="4613" width="9.140625" style="61"/>
    <col min="4614" max="4614" width="45.7109375" style="61" customWidth="1"/>
    <col min="4615" max="4862" width="9.140625" style="61"/>
    <col min="4863" max="4863" width="5.28515625" style="61" bestFit="1" customWidth="1"/>
    <col min="4864" max="4864" width="44.5703125" style="61" customWidth="1"/>
    <col min="4865" max="4865" width="23.7109375" style="61" customWidth="1"/>
    <col min="4866" max="4866" width="6.7109375" style="61" customWidth="1"/>
    <col min="4867" max="4867" width="7.28515625" style="61" bestFit="1" customWidth="1"/>
    <col min="4868" max="4869" width="9.140625" style="61"/>
    <col min="4870" max="4870" width="45.7109375" style="61" customWidth="1"/>
    <col min="4871" max="5118" width="9.140625" style="61"/>
    <col min="5119" max="5119" width="5.28515625" style="61" bestFit="1" customWidth="1"/>
    <col min="5120" max="5120" width="44.5703125" style="61" customWidth="1"/>
    <col min="5121" max="5121" width="23.7109375" style="61" customWidth="1"/>
    <col min="5122" max="5122" width="6.7109375" style="61" customWidth="1"/>
    <col min="5123" max="5123" width="7.28515625" style="61" bestFit="1" customWidth="1"/>
    <col min="5124" max="5125" width="9.140625" style="61"/>
    <col min="5126" max="5126" width="45.7109375" style="61" customWidth="1"/>
    <col min="5127" max="5374" width="9.140625" style="61"/>
    <col min="5375" max="5375" width="5.28515625" style="61" bestFit="1" customWidth="1"/>
    <col min="5376" max="5376" width="44.5703125" style="61" customWidth="1"/>
    <col min="5377" max="5377" width="23.7109375" style="61" customWidth="1"/>
    <col min="5378" max="5378" width="6.7109375" style="61" customWidth="1"/>
    <col min="5379" max="5379" width="7.28515625" style="61" bestFit="1" customWidth="1"/>
    <col min="5380" max="5381" width="9.140625" style="61"/>
    <col min="5382" max="5382" width="45.7109375" style="61" customWidth="1"/>
    <col min="5383" max="5630" width="9.140625" style="61"/>
    <col min="5631" max="5631" width="5.28515625" style="61" bestFit="1" customWidth="1"/>
    <col min="5632" max="5632" width="44.5703125" style="61" customWidth="1"/>
    <col min="5633" max="5633" width="23.7109375" style="61" customWidth="1"/>
    <col min="5634" max="5634" width="6.7109375" style="61" customWidth="1"/>
    <col min="5635" max="5635" width="7.28515625" style="61" bestFit="1" customWidth="1"/>
    <col min="5636" max="5637" width="9.140625" style="61"/>
    <col min="5638" max="5638" width="45.7109375" style="61" customWidth="1"/>
    <col min="5639" max="5886" width="9.140625" style="61"/>
    <col min="5887" max="5887" width="5.28515625" style="61" bestFit="1" customWidth="1"/>
    <col min="5888" max="5888" width="44.5703125" style="61" customWidth="1"/>
    <col min="5889" max="5889" width="23.7109375" style="61" customWidth="1"/>
    <col min="5890" max="5890" width="6.7109375" style="61" customWidth="1"/>
    <col min="5891" max="5891" width="7.28515625" style="61" bestFit="1" customWidth="1"/>
    <col min="5892" max="5893" width="9.140625" style="61"/>
    <col min="5894" max="5894" width="45.7109375" style="61" customWidth="1"/>
    <col min="5895" max="6142" width="9.140625" style="61"/>
    <col min="6143" max="6143" width="5.28515625" style="61" bestFit="1" customWidth="1"/>
    <col min="6144" max="6144" width="44.5703125" style="61" customWidth="1"/>
    <col min="6145" max="6145" width="23.7109375" style="61" customWidth="1"/>
    <col min="6146" max="6146" width="6.7109375" style="61" customWidth="1"/>
    <col min="6147" max="6147" width="7.28515625" style="61" bestFit="1" customWidth="1"/>
    <col min="6148" max="6149" width="9.140625" style="61"/>
    <col min="6150" max="6150" width="45.7109375" style="61" customWidth="1"/>
    <col min="6151" max="6398" width="9.140625" style="61"/>
    <col min="6399" max="6399" width="5.28515625" style="61" bestFit="1" customWidth="1"/>
    <col min="6400" max="6400" width="44.5703125" style="61" customWidth="1"/>
    <col min="6401" max="6401" width="23.7109375" style="61" customWidth="1"/>
    <col min="6402" max="6402" width="6.7109375" style="61" customWidth="1"/>
    <col min="6403" max="6403" width="7.28515625" style="61" bestFit="1" customWidth="1"/>
    <col min="6404" max="6405" width="9.140625" style="61"/>
    <col min="6406" max="6406" width="45.7109375" style="61" customWidth="1"/>
    <col min="6407" max="6654" width="9.140625" style="61"/>
    <col min="6655" max="6655" width="5.28515625" style="61" bestFit="1" customWidth="1"/>
    <col min="6656" max="6656" width="44.5703125" style="61" customWidth="1"/>
    <col min="6657" max="6657" width="23.7109375" style="61" customWidth="1"/>
    <col min="6658" max="6658" width="6.7109375" style="61" customWidth="1"/>
    <col min="6659" max="6659" width="7.28515625" style="61" bestFit="1" customWidth="1"/>
    <col min="6660" max="6661" width="9.140625" style="61"/>
    <col min="6662" max="6662" width="45.7109375" style="61" customWidth="1"/>
    <col min="6663" max="6910" width="9.140625" style="61"/>
    <col min="6911" max="6911" width="5.28515625" style="61" bestFit="1" customWidth="1"/>
    <col min="6912" max="6912" width="44.5703125" style="61" customWidth="1"/>
    <col min="6913" max="6913" width="23.7109375" style="61" customWidth="1"/>
    <col min="6914" max="6914" width="6.7109375" style="61" customWidth="1"/>
    <col min="6915" max="6915" width="7.28515625" style="61" bestFit="1" customWidth="1"/>
    <col min="6916" max="6917" width="9.140625" style="61"/>
    <col min="6918" max="6918" width="45.7109375" style="61" customWidth="1"/>
    <col min="6919" max="7166" width="9.140625" style="61"/>
    <col min="7167" max="7167" width="5.28515625" style="61" bestFit="1" customWidth="1"/>
    <col min="7168" max="7168" width="44.5703125" style="61" customWidth="1"/>
    <col min="7169" max="7169" width="23.7109375" style="61" customWidth="1"/>
    <col min="7170" max="7170" width="6.7109375" style="61" customWidth="1"/>
    <col min="7171" max="7171" width="7.28515625" style="61" bestFit="1" customWidth="1"/>
    <col min="7172" max="7173" width="9.140625" style="61"/>
    <col min="7174" max="7174" width="45.7109375" style="61" customWidth="1"/>
    <col min="7175" max="7422" width="9.140625" style="61"/>
    <col min="7423" max="7423" width="5.28515625" style="61" bestFit="1" customWidth="1"/>
    <col min="7424" max="7424" width="44.5703125" style="61" customWidth="1"/>
    <col min="7425" max="7425" width="23.7109375" style="61" customWidth="1"/>
    <col min="7426" max="7426" width="6.7109375" style="61" customWidth="1"/>
    <col min="7427" max="7427" width="7.28515625" style="61" bestFit="1" customWidth="1"/>
    <col min="7428" max="7429" width="9.140625" style="61"/>
    <col min="7430" max="7430" width="45.7109375" style="61" customWidth="1"/>
    <col min="7431" max="7678" width="9.140625" style="61"/>
    <col min="7679" max="7679" width="5.28515625" style="61" bestFit="1" customWidth="1"/>
    <col min="7680" max="7680" width="44.5703125" style="61" customWidth="1"/>
    <col min="7681" max="7681" width="23.7109375" style="61" customWidth="1"/>
    <col min="7682" max="7682" width="6.7109375" style="61" customWidth="1"/>
    <col min="7683" max="7683" width="7.28515625" style="61" bestFit="1" customWidth="1"/>
    <col min="7684" max="7685" width="9.140625" style="61"/>
    <col min="7686" max="7686" width="45.7109375" style="61" customWidth="1"/>
    <col min="7687" max="7934" width="9.140625" style="61"/>
    <col min="7935" max="7935" width="5.28515625" style="61" bestFit="1" customWidth="1"/>
    <col min="7936" max="7936" width="44.5703125" style="61" customWidth="1"/>
    <col min="7937" max="7937" width="23.7109375" style="61" customWidth="1"/>
    <col min="7938" max="7938" width="6.7109375" style="61" customWidth="1"/>
    <col min="7939" max="7939" width="7.28515625" style="61" bestFit="1" customWidth="1"/>
    <col min="7940" max="7941" width="9.140625" style="61"/>
    <col min="7942" max="7942" width="45.7109375" style="61" customWidth="1"/>
    <col min="7943" max="8190" width="9.140625" style="61"/>
    <col min="8191" max="8191" width="5.28515625" style="61" bestFit="1" customWidth="1"/>
    <col min="8192" max="8192" width="44.5703125" style="61" customWidth="1"/>
    <col min="8193" max="8193" width="23.7109375" style="61" customWidth="1"/>
    <col min="8194" max="8194" width="6.7109375" style="61" customWidth="1"/>
    <col min="8195" max="8195" width="7.28515625" style="61" bestFit="1" customWidth="1"/>
    <col min="8196" max="8197" width="9.140625" style="61"/>
    <col min="8198" max="8198" width="45.7109375" style="61" customWidth="1"/>
    <col min="8199" max="8446" width="9.140625" style="61"/>
    <col min="8447" max="8447" width="5.28515625" style="61" bestFit="1" customWidth="1"/>
    <col min="8448" max="8448" width="44.5703125" style="61" customWidth="1"/>
    <col min="8449" max="8449" width="23.7109375" style="61" customWidth="1"/>
    <col min="8450" max="8450" width="6.7109375" style="61" customWidth="1"/>
    <col min="8451" max="8451" width="7.28515625" style="61" bestFit="1" customWidth="1"/>
    <col min="8452" max="8453" width="9.140625" style="61"/>
    <col min="8454" max="8454" width="45.7109375" style="61" customWidth="1"/>
    <col min="8455" max="8702" width="9.140625" style="61"/>
    <col min="8703" max="8703" width="5.28515625" style="61" bestFit="1" customWidth="1"/>
    <col min="8704" max="8704" width="44.5703125" style="61" customWidth="1"/>
    <col min="8705" max="8705" width="23.7109375" style="61" customWidth="1"/>
    <col min="8706" max="8706" width="6.7109375" style="61" customWidth="1"/>
    <col min="8707" max="8707" width="7.28515625" style="61" bestFit="1" customWidth="1"/>
    <col min="8708" max="8709" width="9.140625" style="61"/>
    <col min="8710" max="8710" width="45.7109375" style="61" customWidth="1"/>
    <col min="8711" max="8958" width="9.140625" style="61"/>
    <col min="8959" max="8959" width="5.28515625" style="61" bestFit="1" customWidth="1"/>
    <col min="8960" max="8960" width="44.5703125" style="61" customWidth="1"/>
    <col min="8961" max="8961" width="23.7109375" style="61" customWidth="1"/>
    <col min="8962" max="8962" width="6.7109375" style="61" customWidth="1"/>
    <col min="8963" max="8963" width="7.28515625" style="61" bestFit="1" customWidth="1"/>
    <col min="8964" max="8965" width="9.140625" style="61"/>
    <col min="8966" max="8966" width="45.7109375" style="61" customWidth="1"/>
    <col min="8967" max="9214" width="9.140625" style="61"/>
    <col min="9215" max="9215" width="5.28515625" style="61" bestFit="1" customWidth="1"/>
    <col min="9216" max="9216" width="44.5703125" style="61" customWidth="1"/>
    <col min="9217" max="9217" width="23.7109375" style="61" customWidth="1"/>
    <col min="9218" max="9218" width="6.7109375" style="61" customWidth="1"/>
    <col min="9219" max="9219" width="7.28515625" style="61" bestFit="1" customWidth="1"/>
    <col min="9220" max="9221" width="9.140625" style="61"/>
    <col min="9222" max="9222" width="45.7109375" style="61" customWidth="1"/>
    <col min="9223" max="9470" width="9.140625" style="61"/>
    <col min="9471" max="9471" width="5.28515625" style="61" bestFit="1" customWidth="1"/>
    <col min="9472" max="9472" width="44.5703125" style="61" customWidth="1"/>
    <col min="9473" max="9473" width="23.7109375" style="61" customWidth="1"/>
    <col min="9474" max="9474" width="6.7109375" style="61" customWidth="1"/>
    <col min="9475" max="9475" width="7.28515625" style="61" bestFit="1" customWidth="1"/>
    <col min="9476" max="9477" width="9.140625" style="61"/>
    <col min="9478" max="9478" width="45.7109375" style="61" customWidth="1"/>
    <col min="9479" max="9726" width="9.140625" style="61"/>
    <col min="9727" max="9727" width="5.28515625" style="61" bestFit="1" customWidth="1"/>
    <col min="9728" max="9728" width="44.5703125" style="61" customWidth="1"/>
    <col min="9729" max="9729" width="23.7109375" style="61" customWidth="1"/>
    <col min="9730" max="9730" width="6.7109375" style="61" customWidth="1"/>
    <col min="9731" max="9731" width="7.28515625" style="61" bestFit="1" customWidth="1"/>
    <col min="9732" max="9733" width="9.140625" style="61"/>
    <col min="9734" max="9734" width="45.7109375" style="61" customWidth="1"/>
    <col min="9735" max="9982" width="9.140625" style="61"/>
    <col min="9983" max="9983" width="5.28515625" style="61" bestFit="1" customWidth="1"/>
    <col min="9984" max="9984" width="44.5703125" style="61" customWidth="1"/>
    <col min="9985" max="9985" width="23.7109375" style="61" customWidth="1"/>
    <col min="9986" max="9986" width="6.7109375" style="61" customWidth="1"/>
    <col min="9987" max="9987" width="7.28515625" style="61" bestFit="1" customWidth="1"/>
    <col min="9988" max="9989" width="9.140625" style="61"/>
    <col min="9990" max="9990" width="45.7109375" style="61" customWidth="1"/>
    <col min="9991" max="10238" width="9.140625" style="61"/>
    <col min="10239" max="10239" width="5.28515625" style="61" bestFit="1" customWidth="1"/>
    <col min="10240" max="10240" width="44.5703125" style="61" customWidth="1"/>
    <col min="10241" max="10241" width="23.7109375" style="61" customWidth="1"/>
    <col min="10242" max="10242" width="6.7109375" style="61" customWidth="1"/>
    <col min="10243" max="10243" width="7.28515625" style="61" bestFit="1" customWidth="1"/>
    <col min="10244" max="10245" width="9.140625" style="61"/>
    <col min="10246" max="10246" width="45.7109375" style="61" customWidth="1"/>
    <col min="10247" max="10494" width="9.140625" style="61"/>
    <col min="10495" max="10495" width="5.28515625" style="61" bestFit="1" customWidth="1"/>
    <col min="10496" max="10496" width="44.5703125" style="61" customWidth="1"/>
    <col min="10497" max="10497" width="23.7109375" style="61" customWidth="1"/>
    <col min="10498" max="10498" width="6.7109375" style="61" customWidth="1"/>
    <col min="10499" max="10499" width="7.28515625" style="61" bestFit="1" customWidth="1"/>
    <col min="10500" max="10501" width="9.140625" style="61"/>
    <col min="10502" max="10502" width="45.7109375" style="61" customWidth="1"/>
    <col min="10503" max="10750" width="9.140625" style="61"/>
    <col min="10751" max="10751" width="5.28515625" style="61" bestFit="1" customWidth="1"/>
    <col min="10752" max="10752" width="44.5703125" style="61" customWidth="1"/>
    <col min="10753" max="10753" width="23.7109375" style="61" customWidth="1"/>
    <col min="10754" max="10754" width="6.7109375" style="61" customWidth="1"/>
    <col min="10755" max="10755" width="7.28515625" style="61" bestFit="1" customWidth="1"/>
    <col min="10756" max="10757" width="9.140625" style="61"/>
    <col min="10758" max="10758" width="45.7109375" style="61" customWidth="1"/>
    <col min="10759" max="11006" width="9.140625" style="61"/>
    <col min="11007" max="11007" width="5.28515625" style="61" bestFit="1" customWidth="1"/>
    <col min="11008" max="11008" width="44.5703125" style="61" customWidth="1"/>
    <col min="11009" max="11009" width="23.7109375" style="61" customWidth="1"/>
    <col min="11010" max="11010" width="6.7109375" style="61" customWidth="1"/>
    <col min="11011" max="11011" width="7.28515625" style="61" bestFit="1" customWidth="1"/>
    <col min="11012" max="11013" width="9.140625" style="61"/>
    <col min="11014" max="11014" width="45.7109375" style="61" customWidth="1"/>
    <col min="11015" max="11262" width="9.140625" style="61"/>
    <col min="11263" max="11263" width="5.28515625" style="61" bestFit="1" customWidth="1"/>
    <col min="11264" max="11264" width="44.5703125" style="61" customWidth="1"/>
    <col min="11265" max="11265" width="23.7109375" style="61" customWidth="1"/>
    <col min="11266" max="11266" width="6.7109375" style="61" customWidth="1"/>
    <col min="11267" max="11267" width="7.28515625" style="61" bestFit="1" customWidth="1"/>
    <col min="11268" max="11269" width="9.140625" style="61"/>
    <col min="11270" max="11270" width="45.7109375" style="61" customWidth="1"/>
    <col min="11271" max="11518" width="9.140625" style="61"/>
    <col min="11519" max="11519" width="5.28515625" style="61" bestFit="1" customWidth="1"/>
    <col min="11520" max="11520" width="44.5703125" style="61" customWidth="1"/>
    <col min="11521" max="11521" width="23.7109375" style="61" customWidth="1"/>
    <col min="11522" max="11522" width="6.7109375" style="61" customWidth="1"/>
    <col min="11523" max="11523" width="7.28515625" style="61" bestFit="1" customWidth="1"/>
    <col min="11524" max="11525" width="9.140625" style="61"/>
    <col min="11526" max="11526" width="45.7109375" style="61" customWidth="1"/>
    <col min="11527" max="11774" width="9.140625" style="61"/>
    <col min="11775" max="11775" width="5.28515625" style="61" bestFit="1" customWidth="1"/>
    <col min="11776" max="11776" width="44.5703125" style="61" customWidth="1"/>
    <col min="11777" max="11777" width="23.7109375" style="61" customWidth="1"/>
    <col min="11778" max="11778" width="6.7109375" style="61" customWidth="1"/>
    <col min="11779" max="11779" width="7.28515625" style="61" bestFit="1" customWidth="1"/>
    <col min="11780" max="11781" width="9.140625" style="61"/>
    <col min="11782" max="11782" width="45.7109375" style="61" customWidth="1"/>
    <col min="11783" max="12030" width="9.140625" style="61"/>
    <col min="12031" max="12031" width="5.28515625" style="61" bestFit="1" customWidth="1"/>
    <col min="12032" max="12032" width="44.5703125" style="61" customWidth="1"/>
    <col min="12033" max="12033" width="23.7109375" style="61" customWidth="1"/>
    <col min="12034" max="12034" width="6.7109375" style="61" customWidth="1"/>
    <col min="12035" max="12035" width="7.28515625" style="61" bestFit="1" customWidth="1"/>
    <col min="12036" max="12037" width="9.140625" style="61"/>
    <col min="12038" max="12038" width="45.7109375" style="61" customWidth="1"/>
    <col min="12039" max="12286" width="9.140625" style="61"/>
    <col min="12287" max="12287" width="5.28515625" style="61" bestFit="1" customWidth="1"/>
    <col min="12288" max="12288" width="44.5703125" style="61" customWidth="1"/>
    <col min="12289" max="12289" width="23.7109375" style="61" customWidth="1"/>
    <col min="12290" max="12290" width="6.7109375" style="61" customWidth="1"/>
    <col min="12291" max="12291" width="7.28515625" style="61" bestFit="1" customWidth="1"/>
    <col min="12292" max="12293" width="9.140625" style="61"/>
    <col min="12294" max="12294" width="45.7109375" style="61" customWidth="1"/>
    <col min="12295" max="12542" width="9.140625" style="61"/>
    <col min="12543" max="12543" width="5.28515625" style="61" bestFit="1" customWidth="1"/>
    <col min="12544" max="12544" width="44.5703125" style="61" customWidth="1"/>
    <col min="12545" max="12545" width="23.7109375" style="61" customWidth="1"/>
    <col min="12546" max="12546" width="6.7109375" style="61" customWidth="1"/>
    <col min="12547" max="12547" width="7.28515625" style="61" bestFit="1" customWidth="1"/>
    <col min="12548" max="12549" width="9.140625" style="61"/>
    <col min="12550" max="12550" width="45.7109375" style="61" customWidth="1"/>
    <col min="12551" max="12798" width="9.140625" style="61"/>
    <col min="12799" max="12799" width="5.28515625" style="61" bestFit="1" customWidth="1"/>
    <col min="12800" max="12800" width="44.5703125" style="61" customWidth="1"/>
    <col min="12801" max="12801" width="23.7109375" style="61" customWidth="1"/>
    <col min="12802" max="12802" width="6.7109375" style="61" customWidth="1"/>
    <col min="12803" max="12803" width="7.28515625" style="61" bestFit="1" customWidth="1"/>
    <col min="12804" max="12805" width="9.140625" style="61"/>
    <col min="12806" max="12806" width="45.7109375" style="61" customWidth="1"/>
    <col min="12807" max="13054" width="9.140625" style="61"/>
    <col min="13055" max="13055" width="5.28515625" style="61" bestFit="1" customWidth="1"/>
    <col min="13056" max="13056" width="44.5703125" style="61" customWidth="1"/>
    <col min="13057" max="13057" width="23.7109375" style="61" customWidth="1"/>
    <col min="13058" max="13058" width="6.7109375" style="61" customWidth="1"/>
    <col min="13059" max="13059" width="7.28515625" style="61" bestFit="1" customWidth="1"/>
    <col min="13060" max="13061" width="9.140625" style="61"/>
    <col min="13062" max="13062" width="45.7109375" style="61" customWidth="1"/>
    <col min="13063" max="13310" width="9.140625" style="61"/>
    <col min="13311" max="13311" width="5.28515625" style="61" bestFit="1" customWidth="1"/>
    <col min="13312" max="13312" width="44.5703125" style="61" customWidth="1"/>
    <col min="13313" max="13313" width="23.7109375" style="61" customWidth="1"/>
    <col min="13314" max="13314" width="6.7109375" style="61" customWidth="1"/>
    <col min="13315" max="13315" width="7.28515625" style="61" bestFit="1" customWidth="1"/>
    <col min="13316" max="13317" width="9.140625" style="61"/>
    <col min="13318" max="13318" width="45.7109375" style="61" customWidth="1"/>
    <col min="13319" max="13566" width="9.140625" style="61"/>
    <col min="13567" max="13567" width="5.28515625" style="61" bestFit="1" customWidth="1"/>
    <col min="13568" max="13568" width="44.5703125" style="61" customWidth="1"/>
    <col min="13569" max="13569" width="23.7109375" style="61" customWidth="1"/>
    <col min="13570" max="13570" width="6.7109375" style="61" customWidth="1"/>
    <col min="13571" max="13571" width="7.28515625" style="61" bestFit="1" customWidth="1"/>
    <col min="13572" max="13573" width="9.140625" style="61"/>
    <col min="13574" max="13574" width="45.7109375" style="61" customWidth="1"/>
    <col min="13575" max="13822" width="9.140625" style="61"/>
    <col min="13823" max="13823" width="5.28515625" style="61" bestFit="1" customWidth="1"/>
    <col min="13824" max="13824" width="44.5703125" style="61" customWidth="1"/>
    <col min="13825" max="13825" width="23.7109375" style="61" customWidth="1"/>
    <col min="13826" max="13826" width="6.7109375" style="61" customWidth="1"/>
    <col min="13827" max="13827" width="7.28515625" style="61" bestFit="1" customWidth="1"/>
    <col min="13828" max="13829" width="9.140625" style="61"/>
    <col min="13830" max="13830" width="45.7109375" style="61" customWidth="1"/>
    <col min="13831" max="14078" width="9.140625" style="61"/>
    <col min="14079" max="14079" width="5.28515625" style="61" bestFit="1" customWidth="1"/>
    <col min="14080" max="14080" width="44.5703125" style="61" customWidth="1"/>
    <col min="14081" max="14081" width="23.7109375" style="61" customWidth="1"/>
    <col min="14082" max="14082" width="6.7109375" style="61" customWidth="1"/>
    <col min="14083" max="14083" width="7.28515625" style="61" bestFit="1" customWidth="1"/>
    <col min="14084" max="14085" width="9.140625" style="61"/>
    <col min="14086" max="14086" width="45.7109375" style="61" customWidth="1"/>
    <col min="14087" max="14334" width="9.140625" style="61"/>
    <col min="14335" max="14335" width="5.28515625" style="61" bestFit="1" customWidth="1"/>
    <col min="14336" max="14336" width="44.5703125" style="61" customWidth="1"/>
    <col min="14337" max="14337" width="23.7109375" style="61" customWidth="1"/>
    <col min="14338" max="14338" width="6.7109375" style="61" customWidth="1"/>
    <col min="14339" max="14339" width="7.28515625" style="61" bestFit="1" customWidth="1"/>
    <col min="14340" max="14341" width="9.140625" style="61"/>
    <col min="14342" max="14342" width="45.7109375" style="61" customWidth="1"/>
    <col min="14343" max="14590" width="9.140625" style="61"/>
    <col min="14591" max="14591" width="5.28515625" style="61" bestFit="1" customWidth="1"/>
    <col min="14592" max="14592" width="44.5703125" style="61" customWidth="1"/>
    <col min="14593" max="14593" width="23.7109375" style="61" customWidth="1"/>
    <col min="14594" max="14594" width="6.7109375" style="61" customWidth="1"/>
    <col min="14595" max="14595" width="7.28515625" style="61" bestFit="1" customWidth="1"/>
    <col min="14596" max="14597" width="9.140625" style="61"/>
    <col min="14598" max="14598" width="45.7109375" style="61" customWidth="1"/>
    <col min="14599" max="14846" width="9.140625" style="61"/>
    <col min="14847" max="14847" width="5.28515625" style="61" bestFit="1" customWidth="1"/>
    <col min="14848" max="14848" width="44.5703125" style="61" customWidth="1"/>
    <col min="14849" max="14849" width="23.7109375" style="61" customWidth="1"/>
    <col min="14850" max="14850" width="6.7109375" style="61" customWidth="1"/>
    <col min="14851" max="14851" width="7.28515625" style="61" bestFit="1" customWidth="1"/>
    <col min="14852" max="14853" width="9.140625" style="61"/>
    <col min="14854" max="14854" width="45.7109375" style="61" customWidth="1"/>
    <col min="14855" max="15102" width="9.140625" style="61"/>
    <col min="15103" max="15103" width="5.28515625" style="61" bestFit="1" customWidth="1"/>
    <col min="15104" max="15104" width="44.5703125" style="61" customWidth="1"/>
    <col min="15105" max="15105" width="23.7109375" style="61" customWidth="1"/>
    <col min="15106" max="15106" width="6.7109375" style="61" customWidth="1"/>
    <col min="15107" max="15107" width="7.28515625" style="61" bestFit="1" customWidth="1"/>
    <col min="15108" max="15109" width="9.140625" style="61"/>
    <col min="15110" max="15110" width="45.7109375" style="61" customWidth="1"/>
    <col min="15111" max="15358" width="9.140625" style="61"/>
    <col min="15359" max="15359" width="5.28515625" style="61" bestFit="1" customWidth="1"/>
    <col min="15360" max="15360" width="44.5703125" style="61" customWidth="1"/>
    <col min="15361" max="15361" width="23.7109375" style="61" customWidth="1"/>
    <col min="15362" max="15362" width="6.7109375" style="61" customWidth="1"/>
    <col min="15363" max="15363" width="7.28515625" style="61" bestFit="1" customWidth="1"/>
    <col min="15364" max="15365" width="9.140625" style="61"/>
    <col min="15366" max="15366" width="45.7109375" style="61" customWidth="1"/>
    <col min="15367" max="15614" width="9.140625" style="61"/>
    <col min="15615" max="15615" width="5.28515625" style="61" bestFit="1" customWidth="1"/>
    <col min="15616" max="15616" width="44.5703125" style="61" customWidth="1"/>
    <col min="15617" max="15617" width="23.7109375" style="61" customWidth="1"/>
    <col min="15618" max="15618" width="6.7109375" style="61" customWidth="1"/>
    <col min="15619" max="15619" width="7.28515625" style="61" bestFit="1" customWidth="1"/>
    <col min="15620" max="15621" width="9.140625" style="61"/>
    <col min="15622" max="15622" width="45.7109375" style="61" customWidth="1"/>
    <col min="15623" max="15870" width="9.140625" style="61"/>
    <col min="15871" max="15871" width="5.28515625" style="61" bestFit="1" customWidth="1"/>
    <col min="15872" max="15872" width="44.5703125" style="61" customWidth="1"/>
    <col min="15873" max="15873" width="23.7109375" style="61" customWidth="1"/>
    <col min="15874" max="15874" width="6.7109375" style="61" customWidth="1"/>
    <col min="15875" max="15875" width="7.28515625" style="61" bestFit="1" customWidth="1"/>
    <col min="15876" max="15877" width="9.140625" style="61"/>
    <col min="15878" max="15878" width="45.7109375" style="61" customWidth="1"/>
    <col min="15879" max="16126" width="9.140625" style="61"/>
    <col min="16127" max="16127" width="5.28515625" style="61" bestFit="1" customWidth="1"/>
    <col min="16128" max="16128" width="44.5703125" style="61" customWidth="1"/>
    <col min="16129" max="16129" width="23.7109375" style="61" customWidth="1"/>
    <col min="16130" max="16130" width="6.7109375" style="61" customWidth="1"/>
    <col min="16131" max="16131" width="7.28515625" style="61" bestFit="1" customWidth="1"/>
    <col min="16132" max="16133" width="9.140625" style="61"/>
    <col min="16134" max="16134" width="45.7109375" style="61" customWidth="1"/>
    <col min="16135" max="16384" width="9.140625" style="61"/>
  </cols>
  <sheetData>
    <row r="1" spans="1:7" ht="15" x14ac:dyDescent="0.2">
      <c r="A1" s="57"/>
      <c r="B1" s="58" t="s">
        <v>258</v>
      </c>
      <c r="C1" s="59"/>
      <c r="D1" s="57"/>
    </row>
    <row r="2" spans="1:7" x14ac:dyDescent="0.2">
      <c r="A2" s="174" t="s">
        <v>73</v>
      </c>
      <c r="B2" s="175" t="s">
        <v>74</v>
      </c>
      <c r="C2" s="175" t="s">
        <v>75</v>
      </c>
      <c r="D2" s="175" t="s">
        <v>76</v>
      </c>
      <c r="E2" s="172" t="s">
        <v>77</v>
      </c>
      <c r="F2" s="172" t="s">
        <v>16</v>
      </c>
    </row>
    <row r="3" spans="1:7" x14ac:dyDescent="0.2">
      <c r="A3" s="175"/>
      <c r="B3" s="175"/>
      <c r="C3" s="175"/>
      <c r="D3" s="175"/>
      <c r="E3" s="173"/>
      <c r="F3" s="173"/>
    </row>
    <row r="4" spans="1:7" ht="38.25" x14ac:dyDescent="0.2">
      <c r="A4" s="62"/>
      <c r="B4" s="63" t="s">
        <v>154</v>
      </c>
      <c r="C4" s="62"/>
      <c r="D4" s="62"/>
      <c r="E4" s="64"/>
      <c r="F4" s="64"/>
    </row>
    <row r="5" spans="1:7" ht="140.25" x14ac:dyDescent="0.2">
      <c r="A5" s="66">
        <v>1</v>
      </c>
      <c r="B5" s="67" t="s">
        <v>126</v>
      </c>
      <c r="C5" s="68" t="s">
        <v>124</v>
      </c>
      <c r="D5" s="68" t="s">
        <v>78</v>
      </c>
      <c r="E5" s="68">
        <v>1</v>
      </c>
      <c r="F5" s="71" t="s">
        <v>111</v>
      </c>
      <c r="G5" s="65"/>
    </row>
    <row r="6" spans="1:7" ht="38.25" x14ac:dyDescent="0.2">
      <c r="A6" s="66">
        <v>2</v>
      </c>
      <c r="B6" s="67" t="s">
        <v>147</v>
      </c>
      <c r="C6" s="78" t="s">
        <v>146</v>
      </c>
      <c r="D6" s="68" t="s">
        <v>78</v>
      </c>
      <c r="E6" s="68">
        <v>1</v>
      </c>
      <c r="F6" s="71" t="s">
        <v>111</v>
      </c>
      <c r="G6" s="65"/>
    </row>
    <row r="7" spans="1:7" ht="140.25" x14ac:dyDescent="0.2">
      <c r="A7" s="66">
        <v>3</v>
      </c>
      <c r="B7" s="67" t="s">
        <v>127</v>
      </c>
      <c r="C7" s="68" t="s">
        <v>125</v>
      </c>
      <c r="D7" s="68" t="s">
        <v>78</v>
      </c>
      <c r="E7" s="68">
        <v>1</v>
      </c>
      <c r="F7" s="71" t="s">
        <v>112</v>
      </c>
      <c r="G7" s="65"/>
    </row>
    <row r="8" spans="1:7" ht="38.25" x14ac:dyDescent="0.2">
      <c r="A8" s="66">
        <v>4</v>
      </c>
      <c r="B8" s="67" t="s">
        <v>147</v>
      </c>
      <c r="C8" s="78" t="s">
        <v>144</v>
      </c>
      <c r="D8" s="68" t="s">
        <v>78</v>
      </c>
      <c r="E8" s="68">
        <v>1</v>
      </c>
      <c r="F8" s="71" t="s">
        <v>112</v>
      </c>
      <c r="G8" s="65"/>
    </row>
    <row r="9" spans="1:7" ht="140.25" x14ac:dyDescent="0.2">
      <c r="A9" s="66">
        <v>5</v>
      </c>
      <c r="B9" s="67" t="s">
        <v>129</v>
      </c>
      <c r="C9" s="68" t="s">
        <v>128</v>
      </c>
      <c r="D9" s="68" t="s">
        <v>78</v>
      </c>
      <c r="E9" s="68">
        <v>1</v>
      </c>
      <c r="F9" s="71" t="s">
        <v>113</v>
      </c>
      <c r="G9" s="65"/>
    </row>
    <row r="10" spans="1:7" ht="38.25" x14ac:dyDescent="0.2">
      <c r="A10" s="66">
        <v>6</v>
      </c>
      <c r="B10" s="67" t="s">
        <v>147</v>
      </c>
      <c r="C10" s="78" t="s">
        <v>144</v>
      </c>
      <c r="D10" s="68" t="s">
        <v>78</v>
      </c>
      <c r="E10" s="68">
        <v>1</v>
      </c>
      <c r="F10" s="71" t="s">
        <v>113</v>
      </c>
      <c r="G10" s="65"/>
    </row>
    <row r="11" spans="1:7" ht="140.25" x14ac:dyDescent="0.2">
      <c r="A11" s="66">
        <v>7</v>
      </c>
      <c r="B11" s="67" t="s">
        <v>131</v>
      </c>
      <c r="C11" s="68" t="s">
        <v>130</v>
      </c>
      <c r="D11" s="68" t="s">
        <v>78</v>
      </c>
      <c r="E11" s="68">
        <v>1</v>
      </c>
      <c r="F11" s="71" t="s">
        <v>114</v>
      </c>
      <c r="G11" s="65"/>
    </row>
    <row r="12" spans="1:7" ht="38.25" x14ac:dyDescent="0.2">
      <c r="A12" s="66">
        <v>8</v>
      </c>
      <c r="B12" s="67" t="s">
        <v>147</v>
      </c>
      <c r="C12" s="78" t="s">
        <v>146</v>
      </c>
      <c r="D12" s="68" t="s">
        <v>78</v>
      </c>
      <c r="E12" s="68">
        <v>1</v>
      </c>
      <c r="F12" s="71" t="s">
        <v>114</v>
      </c>
      <c r="G12" s="65"/>
    </row>
    <row r="13" spans="1:7" ht="76.5" x14ac:dyDescent="0.2">
      <c r="A13" s="66">
        <v>9</v>
      </c>
      <c r="B13" s="67" t="s">
        <v>143</v>
      </c>
      <c r="C13" s="68" t="s">
        <v>130</v>
      </c>
      <c r="D13" s="68" t="s">
        <v>78</v>
      </c>
      <c r="E13" s="68">
        <v>1</v>
      </c>
      <c r="F13" s="71" t="s">
        <v>119</v>
      </c>
      <c r="G13" s="65"/>
    </row>
    <row r="14" spans="1:7" ht="51" x14ac:dyDescent="0.2">
      <c r="A14" s="66">
        <v>10</v>
      </c>
      <c r="B14" s="67" t="s">
        <v>132</v>
      </c>
      <c r="C14" s="68" t="s">
        <v>133</v>
      </c>
      <c r="D14" s="68" t="s">
        <v>78</v>
      </c>
      <c r="E14" s="68">
        <v>1</v>
      </c>
      <c r="F14" s="71" t="s">
        <v>119</v>
      </c>
      <c r="G14" s="65"/>
    </row>
    <row r="15" spans="1:7" ht="140.25" x14ac:dyDescent="0.2">
      <c r="A15" s="66">
        <v>11</v>
      </c>
      <c r="B15" s="67" t="s">
        <v>134</v>
      </c>
      <c r="C15" s="68" t="s">
        <v>128</v>
      </c>
      <c r="D15" s="68" t="s">
        <v>78</v>
      </c>
      <c r="E15" s="68">
        <v>1</v>
      </c>
      <c r="F15" s="71" t="s">
        <v>115</v>
      </c>
      <c r="G15" s="65"/>
    </row>
    <row r="16" spans="1:7" ht="38.25" x14ac:dyDescent="0.2">
      <c r="A16" s="66">
        <v>12</v>
      </c>
      <c r="B16" s="67" t="s">
        <v>147</v>
      </c>
      <c r="C16" s="68" t="s">
        <v>145</v>
      </c>
      <c r="D16" s="68" t="s">
        <v>78</v>
      </c>
      <c r="E16" s="68">
        <v>1</v>
      </c>
      <c r="F16" s="71" t="s">
        <v>115</v>
      </c>
      <c r="G16" s="65"/>
    </row>
    <row r="17" spans="1:7" ht="140.25" x14ac:dyDescent="0.2">
      <c r="A17" s="66">
        <v>13</v>
      </c>
      <c r="B17" s="67" t="s">
        <v>136</v>
      </c>
      <c r="C17" s="68" t="s">
        <v>135</v>
      </c>
      <c r="D17" s="68" t="s">
        <v>78</v>
      </c>
      <c r="E17" s="68">
        <v>1</v>
      </c>
      <c r="F17" s="71" t="s">
        <v>116</v>
      </c>
      <c r="G17" s="65"/>
    </row>
    <row r="18" spans="1:7" ht="38.25" x14ac:dyDescent="0.2">
      <c r="A18" s="66">
        <v>14</v>
      </c>
      <c r="B18" s="67" t="s">
        <v>147</v>
      </c>
      <c r="C18" s="78" t="s">
        <v>144</v>
      </c>
      <c r="D18" s="68" t="s">
        <v>78</v>
      </c>
      <c r="E18" s="68">
        <v>1</v>
      </c>
      <c r="F18" s="71" t="s">
        <v>116</v>
      </c>
      <c r="G18" s="65"/>
    </row>
    <row r="19" spans="1:7" ht="140.25" x14ac:dyDescent="0.2">
      <c r="A19" s="66">
        <v>15</v>
      </c>
      <c r="B19" s="67" t="s">
        <v>137</v>
      </c>
      <c r="C19" s="68" t="s">
        <v>124</v>
      </c>
      <c r="D19" s="68" t="s">
        <v>78</v>
      </c>
      <c r="E19" s="68">
        <v>1</v>
      </c>
      <c r="F19" s="71" t="s">
        <v>117</v>
      </c>
      <c r="G19" s="65"/>
    </row>
    <row r="20" spans="1:7" ht="38.25" x14ac:dyDescent="0.2">
      <c r="A20" s="66">
        <v>16</v>
      </c>
      <c r="B20" s="67" t="s">
        <v>147</v>
      </c>
      <c r="C20" s="78" t="s">
        <v>146</v>
      </c>
      <c r="D20" s="68" t="s">
        <v>78</v>
      </c>
      <c r="E20" s="68">
        <v>1</v>
      </c>
      <c r="F20" s="71" t="s">
        <v>117</v>
      </c>
      <c r="G20" s="65"/>
    </row>
    <row r="21" spans="1:7" ht="140.25" x14ac:dyDescent="0.2">
      <c r="A21" s="66">
        <v>17</v>
      </c>
      <c r="B21" s="67" t="s">
        <v>138</v>
      </c>
      <c r="C21" s="68" t="s">
        <v>124</v>
      </c>
      <c r="D21" s="68" t="s">
        <v>78</v>
      </c>
      <c r="E21" s="68">
        <v>1</v>
      </c>
      <c r="F21" s="71" t="s">
        <v>118</v>
      </c>
      <c r="G21" s="65"/>
    </row>
    <row r="22" spans="1:7" ht="38.25" x14ac:dyDescent="0.2">
      <c r="A22" s="66">
        <v>18</v>
      </c>
      <c r="B22" s="67" t="s">
        <v>147</v>
      </c>
      <c r="C22" s="78" t="s">
        <v>146</v>
      </c>
      <c r="D22" s="68" t="s">
        <v>78</v>
      </c>
      <c r="E22" s="68">
        <v>1</v>
      </c>
      <c r="F22" s="71" t="s">
        <v>118</v>
      </c>
      <c r="G22" s="65"/>
    </row>
    <row r="23" spans="1:7" ht="140.25" x14ac:dyDescent="0.2">
      <c r="A23" s="66">
        <v>19</v>
      </c>
      <c r="B23" s="67" t="s">
        <v>139</v>
      </c>
      <c r="C23" s="68" t="s">
        <v>135</v>
      </c>
      <c r="D23" s="68" t="s">
        <v>78</v>
      </c>
      <c r="E23" s="68">
        <v>1</v>
      </c>
      <c r="F23" s="71" t="s">
        <v>120</v>
      </c>
      <c r="G23" s="65"/>
    </row>
    <row r="24" spans="1:7" ht="38.25" x14ac:dyDescent="0.2">
      <c r="A24" s="66">
        <v>20</v>
      </c>
      <c r="B24" s="67" t="s">
        <v>147</v>
      </c>
      <c r="C24" s="78" t="s">
        <v>144</v>
      </c>
      <c r="D24" s="68" t="s">
        <v>78</v>
      </c>
      <c r="E24" s="68">
        <v>1</v>
      </c>
      <c r="F24" s="71" t="s">
        <v>120</v>
      </c>
      <c r="G24" s="65"/>
    </row>
    <row r="25" spans="1:7" ht="140.25" x14ac:dyDescent="0.2">
      <c r="A25" s="66">
        <v>21</v>
      </c>
      <c r="B25" s="67" t="s">
        <v>140</v>
      </c>
      <c r="C25" s="68" t="s">
        <v>135</v>
      </c>
      <c r="D25" s="68" t="s">
        <v>78</v>
      </c>
      <c r="E25" s="68">
        <v>1</v>
      </c>
      <c r="F25" s="71" t="s">
        <v>121</v>
      </c>
      <c r="G25" s="65"/>
    </row>
    <row r="26" spans="1:7" ht="38.25" x14ac:dyDescent="0.2">
      <c r="A26" s="66">
        <v>22</v>
      </c>
      <c r="B26" s="67" t="s">
        <v>147</v>
      </c>
      <c r="C26" s="78" t="s">
        <v>144</v>
      </c>
      <c r="D26" s="68" t="s">
        <v>78</v>
      </c>
      <c r="E26" s="68">
        <v>1</v>
      </c>
      <c r="F26" s="71" t="s">
        <v>121</v>
      </c>
      <c r="G26" s="65"/>
    </row>
    <row r="27" spans="1:7" ht="140.25" x14ac:dyDescent="0.2">
      <c r="A27" s="66">
        <v>23</v>
      </c>
      <c r="B27" s="67" t="s">
        <v>141</v>
      </c>
      <c r="C27" s="68" t="s">
        <v>124</v>
      </c>
      <c r="D27" s="68" t="s">
        <v>78</v>
      </c>
      <c r="E27" s="68">
        <v>1</v>
      </c>
      <c r="F27" s="71" t="s">
        <v>122</v>
      </c>
      <c r="G27" s="65"/>
    </row>
    <row r="28" spans="1:7" ht="38.25" x14ac:dyDescent="0.2">
      <c r="A28" s="66">
        <v>24</v>
      </c>
      <c r="B28" s="67" t="s">
        <v>147</v>
      </c>
      <c r="C28" s="78" t="s">
        <v>146</v>
      </c>
      <c r="D28" s="68" t="s">
        <v>78</v>
      </c>
      <c r="E28" s="68">
        <v>1</v>
      </c>
      <c r="F28" s="71" t="s">
        <v>122</v>
      </c>
      <c r="G28" s="65"/>
    </row>
    <row r="29" spans="1:7" ht="140.25" x14ac:dyDescent="0.2">
      <c r="A29" s="66">
        <v>25</v>
      </c>
      <c r="B29" s="67" t="s">
        <v>142</v>
      </c>
      <c r="C29" s="68" t="s">
        <v>124</v>
      </c>
      <c r="D29" s="68" t="s">
        <v>78</v>
      </c>
      <c r="E29" s="68">
        <v>1</v>
      </c>
      <c r="F29" s="71" t="s">
        <v>123</v>
      </c>
      <c r="G29" s="65"/>
    </row>
    <row r="30" spans="1:7" ht="38.25" x14ac:dyDescent="0.2">
      <c r="A30" s="66">
        <v>26</v>
      </c>
      <c r="B30" s="67" t="s">
        <v>147</v>
      </c>
      <c r="C30" s="78" t="s">
        <v>144</v>
      </c>
      <c r="D30" s="68" t="s">
        <v>78</v>
      </c>
      <c r="E30" s="68">
        <v>1</v>
      </c>
      <c r="F30" s="71" t="s">
        <v>123</v>
      </c>
      <c r="G30" s="65"/>
    </row>
    <row r="31" spans="1:7" ht="25.5" x14ac:dyDescent="0.2">
      <c r="A31" s="66">
        <v>27</v>
      </c>
      <c r="B31" s="67" t="s">
        <v>148</v>
      </c>
      <c r="C31" s="68" t="s">
        <v>150</v>
      </c>
      <c r="D31" s="68" t="s">
        <v>78</v>
      </c>
      <c r="E31" s="68">
        <v>7</v>
      </c>
      <c r="F31" s="71" t="s">
        <v>152</v>
      </c>
      <c r="G31" s="65"/>
    </row>
    <row r="32" spans="1:7" ht="25.5" x14ac:dyDescent="0.2">
      <c r="A32" s="66">
        <v>28</v>
      </c>
      <c r="B32" s="67" t="s">
        <v>148</v>
      </c>
      <c r="C32" s="68" t="s">
        <v>149</v>
      </c>
      <c r="D32" s="68" t="s">
        <v>78</v>
      </c>
      <c r="E32" s="68">
        <v>2</v>
      </c>
      <c r="F32" s="71" t="s">
        <v>152</v>
      </c>
      <c r="G32" s="65"/>
    </row>
    <row r="33" spans="1:7" ht="25.5" x14ac:dyDescent="0.2">
      <c r="A33" s="66">
        <v>29</v>
      </c>
      <c r="B33" s="67" t="s">
        <v>148</v>
      </c>
      <c r="C33" s="68" t="s">
        <v>151</v>
      </c>
      <c r="D33" s="68" t="s">
        <v>78</v>
      </c>
      <c r="E33" s="68">
        <v>3</v>
      </c>
      <c r="F33" s="71" t="s">
        <v>152</v>
      </c>
      <c r="G33" s="65"/>
    </row>
    <row r="34" spans="1:7" ht="25.5" x14ac:dyDescent="0.2">
      <c r="A34" s="66">
        <v>30</v>
      </c>
      <c r="B34" s="67" t="s">
        <v>153</v>
      </c>
      <c r="C34" s="68"/>
      <c r="D34" s="68" t="s">
        <v>78</v>
      </c>
      <c r="E34" s="68">
        <v>13</v>
      </c>
      <c r="F34" s="71"/>
      <c r="G34" s="65"/>
    </row>
    <row r="35" spans="1:7" ht="25.5" x14ac:dyDescent="0.2">
      <c r="A35" s="66">
        <v>31</v>
      </c>
      <c r="B35" s="67" t="s">
        <v>158</v>
      </c>
      <c r="C35" s="68" t="s">
        <v>159</v>
      </c>
      <c r="D35" s="68" t="s">
        <v>80</v>
      </c>
      <c r="E35" s="68">
        <v>1</v>
      </c>
      <c r="F35" s="71" t="s">
        <v>257</v>
      </c>
      <c r="G35" s="65"/>
    </row>
    <row r="36" spans="1:7" ht="25.5" x14ac:dyDescent="0.2">
      <c r="A36" s="66">
        <v>32</v>
      </c>
      <c r="B36" s="67" t="s">
        <v>161</v>
      </c>
      <c r="C36" s="68" t="s">
        <v>160</v>
      </c>
      <c r="D36" s="68" t="s">
        <v>80</v>
      </c>
      <c r="E36" s="68">
        <v>1</v>
      </c>
      <c r="F36" s="71" t="s">
        <v>157</v>
      </c>
      <c r="G36" s="65"/>
    </row>
    <row r="37" spans="1:7" ht="39.75" x14ac:dyDescent="0.2">
      <c r="A37" s="66">
        <v>33</v>
      </c>
      <c r="B37" s="67" t="s">
        <v>163</v>
      </c>
      <c r="C37" s="68" t="s">
        <v>162</v>
      </c>
      <c r="D37" s="68" t="s">
        <v>80</v>
      </c>
      <c r="E37" s="68">
        <v>1</v>
      </c>
      <c r="F37" s="71" t="s">
        <v>156</v>
      </c>
      <c r="G37" s="65"/>
    </row>
    <row r="38" spans="1:7" x14ac:dyDescent="0.2">
      <c r="A38" s="66">
        <v>34</v>
      </c>
      <c r="B38" s="67" t="s">
        <v>155</v>
      </c>
      <c r="C38" s="68"/>
      <c r="D38" s="68" t="s">
        <v>78</v>
      </c>
      <c r="E38" s="68">
        <v>3</v>
      </c>
      <c r="F38" s="71"/>
      <c r="G38" s="65"/>
    </row>
    <row r="39" spans="1:7" x14ac:dyDescent="0.2">
      <c r="A39" s="66"/>
      <c r="B39" s="67"/>
      <c r="C39" s="68"/>
      <c r="D39" s="68"/>
      <c r="E39" s="68"/>
      <c r="F39" s="71"/>
      <c r="G39" s="65"/>
    </row>
    <row r="40" spans="1:7" ht="25.5" x14ac:dyDescent="0.2">
      <c r="A40" s="66"/>
      <c r="B40" s="79" t="s">
        <v>164</v>
      </c>
      <c r="C40" s="68"/>
      <c r="D40" s="68"/>
      <c r="E40" s="68"/>
      <c r="F40" s="71"/>
      <c r="G40" s="65"/>
    </row>
    <row r="41" spans="1:7" x14ac:dyDescent="0.2">
      <c r="A41" s="66"/>
      <c r="B41" s="79" t="s">
        <v>57</v>
      </c>
      <c r="C41" s="68"/>
      <c r="D41" s="68"/>
      <c r="E41" s="68"/>
      <c r="F41" s="71"/>
      <c r="G41" s="65"/>
    </row>
    <row r="42" spans="1:7" x14ac:dyDescent="0.2">
      <c r="A42" s="66">
        <v>1</v>
      </c>
      <c r="B42" s="70" t="s">
        <v>79</v>
      </c>
      <c r="C42" s="68" t="s">
        <v>166</v>
      </c>
      <c r="D42" s="71" t="s">
        <v>80</v>
      </c>
      <c r="E42" s="68">
        <v>2</v>
      </c>
      <c r="F42" s="71" t="s">
        <v>165</v>
      </c>
      <c r="G42" s="65"/>
    </row>
    <row r="43" spans="1:7" x14ac:dyDescent="0.2">
      <c r="A43" s="66">
        <v>2</v>
      </c>
      <c r="B43" s="70" t="s">
        <v>81</v>
      </c>
      <c r="C43" s="68" t="s">
        <v>167</v>
      </c>
      <c r="D43" s="71" t="s">
        <v>80</v>
      </c>
      <c r="E43" s="68">
        <v>5</v>
      </c>
      <c r="F43" s="71" t="s">
        <v>165</v>
      </c>
      <c r="G43" s="65"/>
    </row>
    <row r="44" spans="1:7" ht="38.25" x14ac:dyDescent="0.2">
      <c r="A44" s="66">
        <v>3</v>
      </c>
      <c r="B44" s="70" t="s">
        <v>171</v>
      </c>
      <c r="C44" s="71" t="s">
        <v>173</v>
      </c>
      <c r="D44" s="71" t="s">
        <v>78</v>
      </c>
      <c r="E44" s="71">
        <v>3</v>
      </c>
      <c r="F44" s="64" t="s">
        <v>169</v>
      </c>
    </row>
    <row r="45" spans="1:7" ht="38.25" x14ac:dyDescent="0.2">
      <c r="A45" s="66">
        <v>4</v>
      </c>
      <c r="B45" s="70" t="s">
        <v>171</v>
      </c>
      <c r="C45" s="71" t="s">
        <v>172</v>
      </c>
      <c r="D45" s="71" t="s">
        <v>78</v>
      </c>
      <c r="E45" s="71">
        <v>2</v>
      </c>
      <c r="F45" s="64" t="s">
        <v>169</v>
      </c>
    </row>
    <row r="46" spans="1:7" ht="38.25" x14ac:dyDescent="0.2">
      <c r="A46" s="66">
        <v>5</v>
      </c>
      <c r="B46" s="70" t="s">
        <v>168</v>
      </c>
      <c r="C46" s="71" t="s">
        <v>170</v>
      </c>
      <c r="D46" s="71" t="s">
        <v>78</v>
      </c>
      <c r="E46" s="71">
        <v>5</v>
      </c>
      <c r="F46" s="64" t="s">
        <v>169</v>
      </c>
    </row>
    <row r="47" spans="1:7" x14ac:dyDescent="0.2">
      <c r="A47" s="66">
        <v>6</v>
      </c>
      <c r="B47" s="70" t="s">
        <v>190</v>
      </c>
      <c r="C47" s="71" t="s">
        <v>203</v>
      </c>
      <c r="D47" s="71" t="s">
        <v>80</v>
      </c>
      <c r="E47" s="71">
        <v>1</v>
      </c>
      <c r="F47" s="71" t="s">
        <v>165</v>
      </c>
    </row>
    <row r="48" spans="1:7" ht="25.5" x14ac:dyDescent="0.2">
      <c r="A48" s="66">
        <v>7</v>
      </c>
      <c r="B48" s="70" t="s">
        <v>176</v>
      </c>
      <c r="C48" s="71" t="s">
        <v>98</v>
      </c>
      <c r="D48" s="71" t="s">
        <v>83</v>
      </c>
      <c r="E48" s="72">
        <f>(2+1.8+1.4)*1.1</f>
        <v>5.72</v>
      </c>
      <c r="F48" s="71"/>
    </row>
    <row r="49" spans="1:7" ht="25.5" x14ac:dyDescent="0.2">
      <c r="A49" s="66">
        <v>8</v>
      </c>
      <c r="B49" s="70" t="s">
        <v>176</v>
      </c>
      <c r="C49" s="71" t="s">
        <v>82</v>
      </c>
      <c r="D49" s="71" t="s">
        <v>83</v>
      </c>
      <c r="E49" s="72">
        <f>(2.1+1.1+1.9+1.6+1.9+0.8)*1.1</f>
        <v>10.340000000000002</v>
      </c>
      <c r="F49" s="77"/>
    </row>
    <row r="50" spans="1:7" ht="25.5" x14ac:dyDescent="0.2">
      <c r="A50" s="66">
        <v>9</v>
      </c>
      <c r="B50" s="70" t="s">
        <v>176</v>
      </c>
      <c r="C50" s="71" t="s">
        <v>84</v>
      </c>
      <c r="D50" s="71" t="s">
        <v>83</v>
      </c>
      <c r="E50" s="72">
        <f>(1.7+4.3+2.5+2.2)*1.1</f>
        <v>11.77</v>
      </c>
      <c r="F50" s="77"/>
    </row>
    <row r="51" spans="1:7" ht="25.5" x14ac:dyDescent="0.2">
      <c r="A51" s="66">
        <v>10</v>
      </c>
      <c r="B51" s="70" t="s">
        <v>176</v>
      </c>
      <c r="C51" s="71" t="s">
        <v>85</v>
      </c>
      <c r="D51" s="71" t="s">
        <v>83</v>
      </c>
      <c r="E51" s="72">
        <f>(1.7+4.3+2.5+2.2)*1.1</f>
        <v>11.77</v>
      </c>
      <c r="F51" s="77"/>
    </row>
    <row r="52" spans="1:7" ht="25.5" x14ac:dyDescent="0.2">
      <c r="A52" s="66">
        <v>11</v>
      </c>
      <c r="B52" s="70" t="s">
        <v>176</v>
      </c>
      <c r="C52" s="71" t="s">
        <v>86</v>
      </c>
      <c r="D52" s="71" t="s">
        <v>83</v>
      </c>
      <c r="E52" s="72">
        <f>(0.4+1.7+0.4+1.2)*1.1</f>
        <v>4.07</v>
      </c>
      <c r="F52" s="77"/>
    </row>
    <row r="53" spans="1:7" ht="25.5" x14ac:dyDescent="0.2">
      <c r="A53" s="66">
        <v>12</v>
      </c>
      <c r="B53" s="70" t="s">
        <v>179</v>
      </c>
      <c r="C53" s="71" t="s">
        <v>177</v>
      </c>
      <c r="D53" s="71" t="s">
        <v>83</v>
      </c>
      <c r="E53" s="72">
        <v>1.6</v>
      </c>
      <c r="F53" s="77"/>
    </row>
    <row r="54" spans="1:7" ht="25.5" x14ac:dyDescent="0.2">
      <c r="A54" s="66">
        <v>13</v>
      </c>
      <c r="B54" s="70" t="s">
        <v>179</v>
      </c>
      <c r="C54" s="71" t="s">
        <v>178</v>
      </c>
      <c r="D54" s="71" t="s">
        <v>83</v>
      </c>
      <c r="E54" s="72">
        <v>0.6</v>
      </c>
      <c r="F54" s="77"/>
    </row>
    <row r="55" spans="1:7" ht="38.25" x14ac:dyDescent="0.2">
      <c r="A55" s="66">
        <v>14</v>
      </c>
      <c r="B55" s="80" t="s">
        <v>197</v>
      </c>
      <c r="C55" s="66" t="s">
        <v>198</v>
      </c>
      <c r="D55" s="66" t="s">
        <v>91</v>
      </c>
      <c r="E55" s="81">
        <v>27</v>
      </c>
      <c r="F55" s="8" t="s">
        <v>199</v>
      </c>
    </row>
    <row r="56" spans="1:7" ht="25.5" x14ac:dyDescent="0.2">
      <c r="A56" s="66">
        <v>15</v>
      </c>
      <c r="B56" s="70" t="s">
        <v>92</v>
      </c>
      <c r="C56" s="71"/>
      <c r="D56" s="71" t="s">
        <v>78</v>
      </c>
      <c r="E56" s="73">
        <v>1</v>
      </c>
      <c r="F56" s="77"/>
    </row>
    <row r="57" spans="1:7" ht="25.5" x14ac:dyDescent="0.2">
      <c r="A57" s="66">
        <v>16</v>
      </c>
      <c r="B57" s="70" t="s">
        <v>93</v>
      </c>
      <c r="C57" s="71"/>
      <c r="D57" s="71" t="s">
        <v>78</v>
      </c>
      <c r="E57" s="73">
        <v>1</v>
      </c>
      <c r="F57" s="77"/>
    </row>
    <row r="58" spans="1:7" x14ac:dyDescent="0.2">
      <c r="A58" s="66">
        <v>17</v>
      </c>
      <c r="B58" s="70" t="s">
        <v>94</v>
      </c>
      <c r="C58" s="71"/>
      <c r="D58" s="71" t="s">
        <v>78</v>
      </c>
      <c r="E58" s="73">
        <v>1</v>
      </c>
      <c r="F58" s="77"/>
    </row>
    <row r="59" spans="1:7" ht="25.5" x14ac:dyDescent="0.2">
      <c r="A59" s="66">
        <v>18</v>
      </c>
      <c r="B59" s="70" t="s">
        <v>95</v>
      </c>
      <c r="C59" s="71"/>
      <c r="D59" s="71" t="s">
        <v>78</v>
      </c>
      <c r="E59" s="73">
        <v>1</v>
      </c>
      <c r="F59" s="77"/>
    </row>
    <row r="60" spans="1:7" ht="25.5" x14ac:dyDescent="0.2">
      <c r="A60" s="66">
        <v>19</v>
      </c>
      <c r="B60" s="70" t="s">
        <v>96</v>
      </c>
      <c r="C60" s="71"/>
      <c r="D60" s="71" t="s">
        <v>78</v>
      </c>
      <c r="E60" s="73">
        <v>1</v>
      </c>
      <c r="F60" s="77"/>
    </row>
    <row r="61" spans="1:7" x14ac:dyDescent="0.2">
      <c r="A61" s="69"/>
      <c r="B61" s="70"/>
      <c r="C61" s="71"/>
      <c r="D61" s="71"/>
      <c r="E61" s="73"/>
      <c r="F61" s="77"/>
    </row>
    <row r="62" spans="1:7" x14ac:dyDescent="0.2">
      <c r="A62" s="66"/>
      <c r="B62" s="79" t="s">
        <v>58</v>
      </c>
      <c r="C62" s="68"/>
      <c r="D62" s="68"/>
      <c r="E62" s="68"/>
      <c r="F62" s="71"/>
      <c r="G62" s="65"/>
    </row>
    <row r="63" spans="1:7" x14ac:dyDescent="0.2">
      <c r="A63" s="66">
        <v>1</v>
      </c>
      <c r="B63" s="70" t="s">
        <v>79</v>
      </c>
      <c r="C63" s="68" t="s">
        <v>180</v>
      </c>
      <c r="D63" s="71" t="s">
        <v>80</v>
      </c>
      <c r="E63" s="68">
        <v>2</v>
      </c>
      <c r="F63" s="71" t="s">
        <v>165</v>
      </c>
      <c r="G63" s="65"/>
    </row>
    <row r="64" spans="1:7" x14ac:dyDescent="0.2">
      <c r="A64" s="66">
        <v>2</v>
      </c>
      <c r="B64" s="70" t="s">
        <v>81</v>
      </c>
      <c r="C64" s="68" t="s">
        <v>181</v>
      </c>
      <c r="D64" s="71" t="s">
        <v>80</v>
      </c>
      <c r="E64" s="68">
        <v>5</v>
      </c>
      <c r="F64" s="71" t="s">
        <v>165</v>
      </c>
      <c r="G64" s="65"/>
    </row>
    <row r="65" spans="1:7" ht="51" x14ac:dyDescent="0.2">
      <c r="A65" s="66">
        <v>3</v>
      </c>
      <c r="B65" s="70" t="s">
        <v>196</v>
      </c>
      <c r="C65" s="68" t="s">
        <v>195</v>
      </c>
      <c r="D65" s="71" t="s">
        <v>78</v>
      </c>
      <c r="E65" s="68">
        <v>1</v>
      </c>
      <c r="F65" s="71" t="s">
        <v>169</v>
      </c>
      <c r="G65" s="65"/>
    </row>
    <row r="66" spans="1:7" ht="25.5" x14ac:dyDescent="0.2">
      <c r="A66" s="66">
        <v>4</v>
      </c>
      <c r="B66" s="70" t="s">
        <v>182</v>
      </c>
      <c r="C66" s="71" t="s">
        <v>183</v>
      </c>
      <c r="D66" s="71" t="s">
        <v>78</v>
      </c>
      <c r="E66" s="71">
        <v>2</v>
      </c>
      <c r="F66" s="71" t="s">
        <v>165</v>
      </c>
    </row>
    <row r="67" spans="1:7" ht="25.5" x14ac:dyDescent="0.2">
      <c r="A67" s="66">
        <v>5</v>
      </c>
      <c r="B67" s="70" t="s">
        <v>184</v>
      </c>
      <c r="C67" s="71" t="s">
        <v>185</v>
      </c>
      <c r="D67" s="71" t="s">
        <v>78</v>
      </c>
      <c r="E67" s="71">
        <v>6</v>
      </c>
      <c r="F67" s="71" t="s">
        <v>169</v>
      </c>
    </row>
    <row r="68" spans="1:7" x14ac:dyDescent="0.2">
      <c r="A68" s="66">
        <v>6</v>
      </c>
      <c r="B68" s="70" t="s">
        <v>186</v>
      </c>
      <c r="C68" s="71" t="s">
        <v>187</v>
      </c>
      <c r="D68" s="71" t="s">
        <v>78</v>
      </c>
      <c r="E68" s="71">
        <v>4</v>
      </c>
      <c r="F68" s="71" t="s">
        <v>165</v>
      </c>
    </row>
    <row r="69" spans="1:7" x14ac:dyDescent="0.2">
      <c r="A69" s="66">
        <v>7</v>
      </c>
      <c r="B69" s="70" t="s">
        <v>186</v>
      </c>
      <c r="C69" s="71" t="s">
        <v>188</v>
      </c>
      <c r="D69" s="71" t="s">
        <v>78</v>
      </c>
      <c r="E69" s="71">
        <v>1</v>
      </c>
      <c r="F69" s="71" t="s">
        <v>165</v>
      </c>
    </row>
    <row r="70" spans="1:7" x14ac:dyDescent="0.2">
      <c r="A70" s="66">
        <v>8</v>
      </c>
      <c r="B70" s="70" t="s">
        <v>190</v>
      </c>
      <c r="C70" s="71" t="s">
        <v>191</v>
      </c>
      <c r="D70" s="71" t="s">
        <v>80</v>
      </c>
      <c r="E70" s="71">
        <v>7</v>
      </c>
      <c r="F70" s="71" t="s">
        <v>165</v>
      </c>
    </row>
    <row r="71" spans="1:7" x14ac:dyDescent="0.2">
      <c r="A71" s="66">
        <v>9</v>
      </c>
      <c r="B71" s="70" t="s">
        <v>190</v>
      </c>
      <c r="C71" s="71" t="s">
        <v>192</v>
      </c>
      <c r="D71" s="71" t="s">
        <v>80</v>
      </c>
      <c r="E71" s="71">
        <v>4</v>
      </c>
      <c r="F71" s="71" t="s">
        <v>165</v>
      </c>
    </row>
    <row r="72" spans="1:7" x14ac:dyDescent="0.2">
      <c r="A72" s="66">
        <v>10</v>
      </c>
      <c r="B72" s="70" t="s">
        <v>193</v>
      </c>
      <c r="C72" s="71" t="s">
        <v>194</v>
      </c>
      <c r="D72" s="71" t="s">
        <v>80</v>
      </c>
      <c r="E72" s="71">
        <v>5</v>
      </c>
      <c r="F72" s="71" t="s">
        <v>165</v>
      </c>
    </row>
    <row r="73" spans="1:7" x14ac:dyDescent="0.2">
      <c r="A73" s="66">
        <v>11</v>
      </c>
      <c r="B73" s="70" t="s">
        <v>174</v>
      </c>
      <c r="C73" s="71" t="s">
        <v>189</v>
      </c>
      <c r="D73" s="71" t="s">
        <v>80</v>
      </c>
      <c r="E73" s="64">
        <v>2</v>
      </c>
      <c r="F73" s="71" t="s">
        <v>165</v>
      </c>
    </row>
    <row r="74" spans="1:7" ht="25.5" x14ac:dyDescent="0.2">
      <c r="A74" s="66">
        <v>12</v>
      </c>
      <c r="B74" s="70" t="s">
        <v>176</v>
      </c>
      <c r="C74" s="71" t="s">
        <v>99</v>
      </c>
      <c r="D74" s="71" t="s">
        <v>83</v>
      </c>
      <c r="E74" s="72">
        <f>(2.5+1.7+3.1+3+1.6+7.8+4.7)*1.1</f>
        <v>26.84</v>
      </c>
      <c r="F74" s="71"/>
    </row>
    <row r="75" spans="1:7" ht="25.5" x14ac:dyDescent="0.2">
      <c r="A75" s="66">
        <v>13</v>
      </c>
      <c r="B75" s="70" t="s">
        <v>176</v>
      </c>
      <c r="C75" s="71" t="s">
        <v>98</v>
      </c>
      <c r="D75" s="71" t="s">
        <v>83</v>
      </c>
      <c r="E75" s="72">
        <f>(2+1.7+1.2+12.1)*1.1</f>
        <v>18.700000000000003</v>
      </c>
      <c r="F75" s="71"/>
    </row>
    <row r="76" spans="1:7" ht="25.5" x14ac:dyDescent="0.2">
      <c r="A76" s="66">
        <v>14</v>
      </c>
      <c r="B76" s="70" t="s">
        <v>176</v>
      </c>
      <c r="C76" s="71" t="s">
        <v>85</v>
      </c>
      <c r="D76" s="71" t="s">
        <v>83</v>
      </c>
      <c r="E76" s="72">
        <f>(1.2+0.8)*1.1</f>
        <v>2.2000000000000002</v>
      </c>
      <c r="F76" s="77"/>
    </row>
    <row r="77" spans="1:7" ht="25.5" x14ac:dyDescent="0.2">
      <c r="A77" s="66">
        <v>15</v>
      </c>
      <c r="B77" s="70" t="s">
        <v>176</v>
      </c>
      <c r="C77" s="71" t="s">
        <v>86</v>
      </c>
      <c r="D77" s="71" t="s">
        <v>83</v>
      </c>
      <c r="E77" s="72">
        <f>(0.6+0.3+0.3+1.6+0.3)*1.1</f>
        <v>3.4099999999999997</v>
      </c>
      <c r="F77" s="77"/>
    </row>
    <row r="78" spans="1:7" ht="25.5" x14ac:dyDescent="0.2">
      <c r="A78" s="66">
        <v>16</v>
      </c>
      <c r="B78" s="70" t="s">
        <v>179</v>
      </c>
      <c r="C78" s="71" t="s">
        <v>230</v>
      </c>
      <c r="D78" s="71" t="s">
        <v>83</v>
      </c>
      <c r="E78" s="72">
        <v>4.2</v>
      </c>
      <c r="F78" s="77"/>
    </row>
    <row r="79" spans="1:7" ht="25.5" x14ac:dyDescent="0.2">
      <c r="A79" s="66">
        <v>17</v>
      </c>
      <c r="B79" s="70" t="s">
        <v>179</v>
      </c>
      <c r="C79" s="71" t="s">
        <v>231</v>
      </c>
      <c r="D79" s="71" t="s">
        <v>83</v>
      </c>
      <c r="E79" s="72">
        <v>2.1</v>
      </c>
      <c r="F79" s="77"/>
    </row>
    <row r="80" spans="1:7" ht="25.5" x14ac:dyDescent="0.2">
      <c r="A80" s="66">
        <v>18</v>
      </c>
      <c r="B80" s="70" t="s">
        <v>179</v>
      </c>
      <c r="C80" s="71" t="s">
        <v>87</v>
      </c>
      <c r="D80" s="71" t="s">
        <v>83</v>
      </c>
      <c r="E80" s="72">
        <f>(3.5+2.1+1.9+1.5+10.8+10.5+2+5.2+9.5+7.4)*1.1</f>
        <v>59.84</v>
      </c>
      <c r="F80" s="77"/>
    </row>
    <row r="81" spans="1:7" ht="25.5" x14ac:dyDescent="0.2">
      <c r="A81" s="66">
        <v>19</v>
      </c>
      <c r="B81" s="70" t="s">
        <v>179</v>
      </c>
      <c r="C81" s="71" t="s">
        <v>232</v>
      </c>
      <c r="D81" s="71" t="s">
        <v>83</v>
      </c>
      <c r="E81" s="72">
        <f>(2.3+1+2.2+1.4+1)*1.1</f>
        <v>8.6900000000000013</v>
      </c>
      <c r="F81" s="77"/>
    </row>
    <row r="82" spans="1:7" ht="25.5" x14ac:dyDescent="0.2">
      <c r="A82" s="66">
        <v>20</v>
      </c>
      <c r="B82" s="70" t="s">
        <v>179</v>
      </c>
      <c r="C82" s="71" t="s">
        <v>233</v>
      </c>
      <c r="D82" s="71" t="s">
        <v>83</v>
      </c>
      <c r="E82" s="72">
        <f>3.4*1.1</f>
        <v>3.74</v>
      </c>
      <c r="F82" s="77"/>
    </row>
    <row r="83" spans="1:7" ht="38.25" x14ac:dyDescent="0.2">
      <c r="A83" s="66">
        <v>21</v>
      </c>
      <c r="B83" s="80" t="s">
        <v>197</v>
      </c>
      <c r="C83" s="66" t="s">
        <v>198</v>
      </c>
      <c r="D83" s="66" t="s">
        <v>91</v>
      </c>
      <c r="E83" s="81">
        <f>(0.6+0.3+1.6)*0.415*3.14*1.1*1.3+(3.5+2.1+2)*1.5*1.1*1.3+2.2*1.6*1.1*1.3</f>
        <v>25.994182500000001</v>
      </c>
      <c r="F83" s="8" t="s">
        <v>199</v>
      </c>
    </row>
    <row r="84" spans="1:7" ht="25.5" x14ac:dyDescent="0.2">
      <c r="A84" s="66">
        <v>22</v>
      </c>
      <c r="B84" s="70" t="s">
        <v>92</v>
      </c>
      <c r="C84" s="71"/>
      <c r="D84" s="71" t="s">
        <v>78</v>
      </c>
      <c r="E84" s="73">
        <v>1</v>
      </c>
      <c r="F84" s="77"/>
    </row>
    <row r="85" spans="1:7" ht="25.5" x14ac:dyDescent="0.2">
      <c r="A85" s="66">
        <v>23</v>
      </c>
      <c r="B85" s="70" t="s">
        <v>93</v>
      </c>
      <c r="C85" s="71"/>
      <c r="D85" s="71" t="s">
        <v>78</v>
      </c>
      <c r="E85" s="73">
        <v>1</v>
      </c>
      <c r="F85" s="77"/>
    </row>
    <row r="86" spans="1:7" x14ac:dyDescent="0.2">
      <c r="A86" s="66">
        <v>24</v>
      </c>
      <c r="B86" s="70" t="s">
        <v>94</v>
      </c>
      <c r="C86" s="71"/>
      <c r="D86" s="71" t="s">
        <v>78</v>
      </c>
      <c r="E86" s="73">
        <v>1</v>
      </c>
      <c r="F86" s="77"/>
    </row>
    <row r="87" spans="1:7" ht="25.5" x14ac:dyDescent="0.2">
      <c r="A87" s="66">
        <v>25</v>
      </c>
      <c r="B87" s="70" t="s">
        <v>95</v>
      </c>
      <c r="C87" s="71"/>
      <c r="D87" s="71" t="s">
        <v>78</v>
      </c>
      <c r="E87" s="73">
        <v>1</v>
      </c>
      <c r="F87" s="77"/>
    </row>
    <row r="88" spans="1:7" ht="25.5" x14ac:dyDescent="0.2">
      <c r="A88" s="66">
        <v>26</v>
      </c>
      <c r="B88" s="70" t="s">
        <v>96</v>
      </c>
      <c r="C88" s="71"/>
      <c r="D88" s="71" t="s">
        <v>78</v>
      </c>
      <c r="E88" s="73">
        <v>1</v>
      </c>
      <c r="F88" s="77"/>
    </row>
    <row r="89" spans="1:7" x14ac:dyDescent="0.2">
      <c r="A89" s="69"/>
      <c r="B89" s="70"/>
      <c r="C89" s="71"/>
      <c r="D89" s="71"/>
      <c r="E89" s="73"/>
      <c r="F89" s="77"/>
    </row>
    <row r="90" spans="1:7" x14ac:dyDescent="0.2">
      <c r="A90" s="66"/>
      <c r="B90" s="79" t="s">
        <v>59</v>
      </c>
      <c r="C90" s="68"/>
      <c r="D90" s="68"/>
      <c r="E90" s="68"/>
      <c r="F90" s="71"/>
      <c r="G90" s="65"/>
    </row>
    <row r="91" spans="1:7" x14ac:dyDescent="0.2">
      <c r="A91" s="66">
        <v>1</v>
      </c>
      <c r="B91" s="70" t="s">
        <v>79</v>
      </c>
      <c r="C91" s="68" t="s">
        <v>180</v>
      </c>
      <c r="D91" s="71" t="s">
        <v>80</v>
      </c>
      <c r="E91" s="68">
        <v>2</v>
      </c>
      <c r="F91" s="71" t="s">
        <v>165</v>
      </c>
      <c r="G91" s="65"/>
    </row>
    <row r="92" spans="1:7" x14ac:dyDescent="0.2">
      <c r="A92" s="66">
        <v>2</v>
      </c>
      <c r="B92" s="70" t="s">
        <v>81</v>
      </c>
      <c r="C92" s="68" t="s">
        <v>181</v>
      </c>
      <c r="D92" s="71" t="s">
        <v>80</v>
      </c>
      <c r="E92" s="68">
        <v>3</v>
      </c>
      <c r="F92" s="71" t="s">
        <v>165</v>
      </c>
      <c r="G92" s="65"/>
    </row>
    <row r="93" spans="1:7" ht="38.25" x14ac:dyDescent="0.2">
      <c r="A93" s="66">
        <v>3</v>
      </c>
      <c r="B93" s="70" t="s">
        <v>171</v>
      </c>
      <c r="C93" s="71" t="s">
        <v>172</v>
      </c>
      <c r="D93" s="71" t="s">
        <v>78</v>
      </c>
      <c r="E93" s="71">
        <v>6</v>
      </c>
      <c r="F93" s="64" t="s">
        <v>169</v>
      </c>
    </row>
    <row r="94" spans="1:7" ht="38.25" x14ac:dyDescent="0.2">
      <c r="A94" s="66">
        <v>4</v>
      </c>
      <c r="B94" s="70" t="s">
        <v>168</v>
      </c>
      <c r="C94" s="71" t="s">
        <v>200</v>
      </c>
      <c r="D94" s="71" t="s">
        <v>78</v>
      </c>
      <c r="E94" s="71">
        <v>6</v>
      </c>
      <c r="F94" s="64" t="s">
        <v>169</v>
      </c>
    </row>
    <row r="95" spans="1:7" x14ac:dyDescent="0.2">
      <c r="A95" s="66">
        <v>5</v>
      </c>
      <c r="B95" s="70" t="s">
        <v>186</v>
      </c>
      <c r="C95" s="71" t="s">
        <v>187</v>
      </c>
      <c r="D95" s="71" t="s">
        <v>78</v>
      </c>
      <c r="E95" s="71">
        <v>1</v>
      </c>
      <c r="F95" s="71" t="s">
        <v>165</v>
      </c>
    </row>
    <row r="96" spans="1:7" ht="25.5" x14ac:dyDescent="0.2">
      <c r="A96" s="66">
        <v>6</v>
      </c>
      <c r="B96" s="70" t="s">
        <v>184</v>
      </c>
      <c r="C96" s="71" t="s">
        <v>185</v>
      </c>
      <c r="D96" s="71" t="s">
        <v>78</v>
      </c>
      <c r="E96" s="71">
        <v>1</v>
      </c>
      <c r="F96" s="71" t="s">
        <v>169</v>
      </c>
    </row>
    <row r="97" spans="1:6" x14ac:dyDescent="0.2">
      <c r="A97" s="66">
        <v>7</v>
      </c>
      <c r="B97" s="70" t="s">
        <v>190</v>
      </c>
      <c r="C97" s="71" t="s">
        <v>191</v>
      </c>
      <c r="D97" s="71" t="s">
        <v>80</v>
      </c>
      <c r="E97" s="71">
        <v>2</v>
      </c>
      <c r="F97" s="71" t="s">
        <v>165</v>
      </c>
    </row>
    <row r="98" spans="1:6" x14ac:dyDescent="0.2">
      <c r="A98" s="66">
        <v>8</v>
      </c>
      <c r="B98" s="70" t="s">
        <v>174</v>
      </c>
      <c r="C98" s="71" t="s">
        <v>189</v>
      </c>
      <c r="D98" s="71" t="s">
        <v>80</v>
      </c>
      <c r="E98" s="64">
        <v>2</v>
      </c>
      <c r="F98" s="71" t="s">
        <v>165</v>
      </c>
    </row>
    <row r="99" spans="1:6" ht="25.5" x14ac:dyDescent="0.2">
      <c r="A99" s="66">
        <v>9</v>
      </c>
      <c r="B99" s="70" t="s">
        <v>176</v>
      </c>
      <c r="C99" s="71" t="s">
        <v>99</v>
      </c>
      <c r="D99" s="71" t="s">
        <v>83</v>
      </c>
      <c r="E99" s="64">
        <f>(1.3+7.1)*1.1</f>
        <v>9.240000000000002</v>
      </c>
      <c r="F99" s="71"/>
    </row>
    <row r="100" spans="1:6" ht="25.5" x14ac:dyDescent="0.2">
      <c r="A100" s="66">
        <v>10</v>
      </c>
      <c r="B100" s="70" t="s">
        <v>176</v>
      </c>
      <c r="C100" s="71" t="s">
        <v>82</v>
      </c>
      <c r="D100" s="71" t="s">
        <v>83</v>
      </c>
      <c r="E100" s="72">
        <f>(2.3+2.1+2.3+2.1)*1.1</f>
        <v>9.6800000000000015</v>
      </c>
      <c r="F100" s="77"/>
    </row>
    <row r="101" spans="1:6" ht="25.5" x14ac:dyDescent="0.2">
      <c r="A101" s="66">
        <v>11</v>
      </c>
      <c r="B101" s="70" t="s">
        <v>176</v>
      </c>
      <c r="C101" s="71" t="s">
        <v>84</v>
      </c>
      <c r="D101" s="71" t="s">
        <v>83</v>
      </c>
      <c r="E101" s="72">
        <f>(2.4+2.1+2.4+2)*1.1</f>
        <v>9.7900000000000009</v>
      </c>
      <c r="F101" s="77"/>
    </row>
    <row r="102" spans="1:6" ht="25.5" x14ac:dyDescent="0.2">
      <c r="A102" s="66">
        <v>12</v>
      </c>
      <c r="B102" s="70" t="s">
        <v>176</v>
      </c>
      <c r="C102" s="71" t="s">
        <v>85</v>
      </c>
      <c r="D102" s="71" t="s">
        <v>83</v>
      </c>
      <c r="E102" s="72">
        <f>(7.2+1.2+7+1.8)*1.1</f>
        <v>18.920000000000002</v>
      </c>
      <c r="F102" s="77"/>
    </row>
    <row r="103" spans="1:6" ht="25.5" x14ac:dyDescent="0.2">
      <c r="A103" s="66">
        <v>13</v>
      </c>
      <c r="B103" s="70" t="s">
        <v>176</v>
      </c>
      <c r="C103" s="71" t="s">
        <v>86</v>
      </c>
      <c r="D103" s="71" t="s">
        <v>83</v>
      </c>
      <c r="E103" s="72">
        <f>(0.7+2.2)*1.1</f>
        <v>3.1900000000000008</v>
      </c>
      <c r="F103" s="77"/>
    </row>
    <row r="104" spans="1:6" ht="25.5" x14ac:dyDescent="0.2">
      <c r="A104" s="66">
        <v>14</v>
      </c>
      <c r="B104" s="70" t="s">
        <v>179</v>
      </c>
      <c r="C104" s="71" t="s">
        <v>178</v>
      </c>
      <c r="D104" s="71" t="s">
        <v>83</v>
      </c>
      <c r="E104" s="72">
        <v>2.4</v>
      </c>
      <c r="F104" s="77"/>
    </row>
    <row r="105" spans="1:6" ht="25.5" x14ac:dyDescent="0.2">
      <c r="A105" s="66">
        <v>15</v>
      </c>
      <c r="B105" s="70" t="s">
        <v>179</v>
      </c>
      <c r="C105" s="71" t="s">
        <v>87</v>
      </c>
      <c r="D105" s="71" t="s">
        <v>83</v>
      </c>
      <c r="E105" s="72">
        <f>(2.7+6.7+7.4+9.6+4.2+2.9+7.8+11.8+4.9+2.4)*1.1</f>
        <v>66.44</v>
      </c>
      <c r="F105" s="77"/>
    </row>
    <row r="106" spans="1:6" ht="25.5" x14ac:dyDescent="0.2">
      <c r="A106" s="66">
        <v>16</v>
      </c>
      <c r="B106" s="70" t="s">
        <v>179</v>
      </c>
      <c r="C106" s="71" t="s">
        <v>232</v>
      </c>
      <c r="D106" s="71" t="s">
        <v>83</v>
      </c>
      <c r="E106" s="72">
        <f>(2.7+0.4+1.3+1.2)*1.1</f>
        <v>6.160000000000001</v>
      </c>
      <c r="F106" s="77"/>
    </row>
    <row r="107" spans="1:6" ht="38.25" x14ac:dyDescent="0.2">
      <c r="A107" s="66">
        <v>17</v>
      </c>
      <c r="B107" s="80" t="s">
        <v>197</v>
      </c>
      <c r="C107" s="66" t="s">
        <v>198</v>
      </c>
      <c r="D107" s="66" t="s">
        <v>91</v>
      </c>
      <c r="E107" s="81">
        <f>(0.7+2.2)*0.415*3.14*1.1*1.3+(4.2+2.9+5.2+2.4)*1.5*1.1*1.3+(0.4+1.2)*1.6*1.1*1.3</f>
        <v>40.596255700000007</v>
      </c>
      <c r="F107" s="8" t="s">
        <v>199</v>
      </c>
    </row>
    <row r="108" spans="1:6" ht="25.5" x14ac:dyDescent="0.2">
      <c r="A108" s="66">
        <v>18</v>
      </c>
      <c r="B108" s="70" t="s">
        <v>92</v>
      </c>
      <c r="C108" s="71"/>
      <c r="D108" s="71" t="s">
        <v>78</v>
      </c>
      <c r="E108" s="73">
        <v>1</v>
      </c>
      <c r="F108" s="77"/>
    </row>
    <row r="109" spans="1:6" ht="25.5" x14ac:dyDescent="0.2">
      <c r="A109" s="66">
        <v>19</v>
      </c>
      <c r="B109" s="70" t="s">
        <v>93</v>
      </c>
      <c r="C109" s="71"/>
      <c r="D109" s="71" t="s">
        <v>78</v>
      </c>
      <c r="E109" s="73">
        <v>1</v>
      </c>
      <c r="F109" s="77"/>
    </row>
    <row r="110" spans="1:6" x14ac:dyDescent="0.2">
      <c r="A110" s="66">
        <v>20</v>
      </c>
      <c r="B110" s="70" t="s">
        <v>94</v>
      </c>
      <c r="C110" s="71"/>
      <c r="D110" s="71" t="s">
        <v>78</v>
      </c>
      <c r="E110" s="73">
        <v>1</v>
      </c>
      <c r="F110" s="77"/>
    </row>
    <row r="111" spans="1:6" ht="25.5" x14ac:dyDescent="0.2">
      <c r="A111" s="66">
        <v>21</v>
      </c>
      <c r="B111" s="70" t="s">
        <v>95</v>
      </c>
      <c r="C111" s="71"/>
      <c r="D111" s="71" t="s">
        <v>78</v>
      </c>
      <c r="E111" s="73">
        <v>1</v>
      </c>
      <c r="F111" s="77"/>
    </row>
    <row r="112" spans="1:6" ht="25.5" x14ac:dyDescent="0.2">
      <c r="A112" s="66">
        <v>22</v>
      </c>
      <c r="B112" s="70" t="s">
        <v>96</v>
      </c>
      <c r="C112" s="71"/>
      <c r="D112" s="71" t="s">
        <v>78</v>
      </c>
      <c r="E112" s="73">
        <v>1</v>
      </c>
      <c r="F112" s="77"/>
    </row>
    <row r="113" spans="1:7" x14ac:dyDescent="0.2">
      <c r="A113" s="69"/>
      <c r="B113" s="70"/>
      <c r="C113" s="71"/>
      <c r="D113" s="71"/>
      <c r="E113" s="73"/>
      <c r="F113" s="77"/>
    </row>
    <row r="114" spans="1:7" x14ac:dyDescent="0.2">
      <c r="A114" s="66"/>
      <c r="B114" s="79" t="s">
        <v>60</v>
      </c>
      <c r="C114" s="68"/>
      <c r="D114" s="68"/>
      <c r="E114" s="68"/>
      <c r="F114" s="71"/>
      <c r="G114" s="65"/>
    </row>
    <row r="115" spans="1:7" x14ac:dyDescent="0.2">
      <c r="A115" s="66">
        <v>1</v>
      </c>
      <c r="B115" s="70" t="s">
        <v>79</v>
      </c>
      <c r="C115" s="68" t="s">
        <v>256</v>
      </c>
      <c r="D115" s="71" t="s">
        <v>80</v>
      </c>
      <c r="E115" s="68">
        <v>1</v>
      </c>
      <c r="F115" s="71" t="s">
        <v>165</v>
      </c>
      <c r="G115" s="65"/>
    </row>
    <row r="116" spans="1:7" x14ac:dyDescent="0.2">
      <c r="A116" s="66">
        <v>2</v>
      </c>
      <c r="B116" s="70" t="s">
        <v>81</v>
      </c>
      <c r="C116" s="68" t="s">
        <v>204</v>
      </c>
      <c r="D116" s="71" t="s">
        <v>80</v>
      </c>
      <c r="E116" s="68">
        <v>1</v>
      </c>
      <c r="F116" s="71" t="s">
        <v>165</v>
      </c>
      <c r="G116" s="65"/>
    </row>
    <row r="117" spans="1:7" x14ac:dyDescent="0.2">
      <c r="A117" s="66">
        <v>3</v>
      </c>
      <c r="B117" s="70" t="s">
        <v>81</v>
      </c>
      <c r="C117" s="68" t="s">
        <v>167</v>
      </c>
      <c r="D117" s="71" t="s">
        <v>80</v>
      </c>
      <c r="E117" s="68">
        <v>2</v>
      </c>
      <c r="F117" s="71" t="s">
        <v>165</v>
      </c>
      <c r="G117" s="65"/>
    </row>
    <row r="118" spans="1:7" ht="38.25" x14ac:dyDescent="0.2">
      <c r="A118" s="66">
        <v>4</v>
      </c>
      <c r="B118" s="70" t="s">
        <v>171</v>
      </c>
      <c r="C118" s="71" t="s">
        <v>173</v>
      </c>
      <c r="D118" s="71" t="s">
        <v>78</v>
      </c>
      <c r="E118" s="71">
        <v>3</v>
      </c>
      <c r="F118" s="64" t="s">
        <v>169</v>
      </c>
      <c r="G118" s="65"/>
    </row>
    <row r="119" spans="1:7" ht="38.25" x14ac:dyDescent="0.2">
      <c r="A119" s="66">
        <v>5</v>
      </c>
      <c r="B119" s="70" t="s">
        <v>168</v>
      </c>
      <c r="C119" s="71" t="s">
        <v>170</v>
      </c>
      <c r="D119" s="71" t="s">
        <v>78</v>
      </c>
      <c r="E119" s="71">
        <v>3</v>
      </c>
      <c r="F119" s="64" t="s">
        <v>169</v>
      </c>
    </row>
    <row r="120" spans="1:7" ht="25.5" x14ac:dyDescent="0.2">
      <c r="A120" s="66">
        <v>6</v>
      </c>
      <c r="B120" s="70" t="s">
        <v>182</v>
      </c>
      <c r="C120" s="71" t="s">
        <v>183</v>
      </c>
      <c r="D120" s="71" t="s">
        <v>78</v>
      </c>
      <c r="E120" s="71">
        <v>1</v>
      </c>
      <c r="F120" s="71" t="s">
        <v>165</v>
      </c>
    </row>
    <row r="121" spans="1:7" ht="25.5" x14ac:dyDescent="0.2">
      <c r="A121" s="66">
        <v>7</v>
      </c>
      <c r="B121" s="70" t="s">
        <v>182</v>
      </c>
      <c r="C121" s="71" t="s">
        <v>201</v>
      </c>
      <c r="D121" s="71" t="s">
        <v>78</v>
      </c>
      <c r="E121" s="71">
        <v>1</v>
      </c>
      <c r="F121" s="71" t="s">
        <v>165</v>
      </c>
    </row>
    <row r="122" spans="1:7" ht="25.5" x14ac:dyDescent="0.2">
      <c r="A122" s="66">
        <v>8</v>
      </c>
      <c r="B122" s="70" t="s">
        <v>184</v>
      </c>
      <c r="C122" s="71" t="s">
        <v>185</v>
      </c>
      <c r="D122" s="71" t="s">
        <v>78</v>
      </c>
      <c r="E122" s="71">
        <v>1</v>
      </c>
      <c r="F122" s="71" t="s">
        <v>169</v>
      </c>
    </row>
    <row r="123" spans="1:7" x14ac:dyDescent="0.2">
      <c r="A123" s="66">
        <v>9</v>
      </c>
      <c r="B123" s="70" t="s">
        <v>186</v>
      </c>
      <c r="C123" s="71" t="s">
        <v>187</v>
      </c>
      <c r="D123" s="71" t="s">
        <v>78</v>
      </c>
      <c r="E123" s="71">
        <v>1</v>
      </c>
      <c r="F123" s="71" t="s">
        <v>165</v>
      </c>
    </row>
    <row r="124" spans="1:7" x14ac:dyDescent="0.2">
      <c r="A124" s="66">
        <v>10</v>
      </c>
      <c r="B124" s="70" t="s">
        <v>186</v>
      </c>
      <c r="C124" s="71" t="s">
        <v>188</v>
      </c>
      <c r="D124" s="71" t="s">
        <v>78</v>
      </c>
      <c r="E124" s="71">
        <v>1</v>
      </c>
      <c r="F124" s="71" t="s">
        <v>165</v>
      </c>
    </row>
    <row r="125" spans="1:7" x14ac:dyDescent="0.2">
      <c r="A125" s="66">
        <v>11</v>
      </c>
      <c r="B125" s="70" t="s">
        <v>190</v>
      </c>
      <c r="C125" s="71" t="s">
        <v>191</v>
      </c>
      <c r="D125" s="71" t="s">
        <v>80</v>
      </c>
      <c r="E125" s="71">
        <v>3</v>
      </c>
      <c r="F125" s="71" t="s">
        <v>165</v>
      </c>
    </row>
    <row r="126" spans="1:7" x14ac:dyDescent="0.2">
      <c r="A126" s="66">
        <v>12</v>
      </c>
      <c r="B126" s="70" t="s">
        <v>190</v>
      </c>
      <c r="C126" s="71" t="s">
        <v>192</v>
      </c>
      <c r="D126" s="71" t="s">
        <v>80</v>
      </c>
      <c r="E126" s="71">
        <v>2</v>
      </c>
      <c r="F126" s="71" t="s">
        <v>165</v>
      </c>
    </row>
    <row r="127" spans="1:7" x14ac:dyDescent="0.2">
      <c r="A127" s="66">
        <v>13</v>
      </c>
      <c r="B127" s="70" t="s">
        <v>190</v>
      </c>
      <c r="C127" s="71" t="s">
        <v>202</v>
      </c>
      <c r="D127" s="71" t="s">
        <v>80</v>
      </c>
      <c r="E127" s="71">
        <v>2</v>
      </c>
      <c r="F127" s="71" t="s">
        <v>165</v>
      </c>
    </row>
    <row r="128" spans="1:7" x14ac:dyDescent="0.2">
      <c r="A128" s="66">
        <v>14</v>
      </c>
      <c r="B128" s="70" t="s">
        <v>174</v>
      </c>
      <c r="C128" s="71" t="s">
        <v>175</v>
      </c>
      <c r="D128" s="71" t="s">
        <v>80</v>
      </c>
      <c r="E128" s="64">
        <v>2</v>
      </c>
      <c r="F128" s="71" t="s">
        <v>165</v>
      </c>
    </row>
    <row r="129" spans="1:7" ht="25.5" x14ac:dyDescent="0.2">
      <c r="A129" s="66">
        <v>15</v>
      </c>
      <c r="B129" s="70" t="s">
        <v>176</v>
      </c>
      <c r="C129" s="71" t="s">
        <v>99</v>
      </c>
      <c r="D129" s="71" t="s">
        <v>83</v>
      </c>
      <c r="E129" s="72">
        <f>(8.2+5.9+0.8+13.2)*1.1</f>
        <v>30.910000000000004</v>
      </c>
      <c r="F129" s="71"/>
    </row>
    <row r="130" spans="1:7" ht="25.5" x14ac:dyDescent="0.2">
      <c r="A130" s="66">
        <v>16</v>
      </c>
      <c r="B130" s="70" t="s">
        <v>176</v>
      </c>
      <c r="C130" s="71" t="s">
        <v>98</v>
      </c>
      <c r="D130" s="71" t="s">
        <v>83</v>
      </c>
      <c r="E130" s="72">
        <f>(2+1.7+3.5)*1.1</f>
        <v>7.9200000000000008</v>
      </c>
      <c r="F130" s="71"/>
    </row>
    <row r="131" spans="1:7" ht="25.5" x14ac:dyDescent="0.2">
      <c r="A131" s="66">
        <v>17</v>
      </c>
      <c r="B131" s="70" t="s">
        <v>176</v>
      </c>
      <c r="C131" s="71" t="s">
        <v>82</v>
      </c>
      <c r="D131" s="71" t="s">
        <v>83</v>
      </c>
      <c r="E131" s="72">
        <f>(2.1+1.7)*1.1</f>
        <v>4.18</v>
      </c>
      <c r="F131" s="77"/>
    </row>
    <row r="132" spans="1:7" ht="25.5" x14ac:dyDescent="0.2">
      <c r="A132" s="66">
        <v>18</v>
      </c>
      <c r="B132" s="70" t="s">
        <v>176</v>
      </c>
      <c r="C132" s="71" t="s">
        <v>84</v>
      </c>
      <c r="D132" s="71" t="s">
        <v>83</v>
      </c>
      <c r="E132" s="72">
        <f>(0.8+6.9)*1.1</f>
        <v>8.4700000000000006</v>
      </c>
      <c r="F132" s="77"/>
    </row>
    <row r="133" spans="1:7" ht="25.5" x14ac:dyDescent="0.2">
      <c r="A133" s="66">
        <v>19</v>
      </c>
      <c r="B133" s="70" t="s">
        <v>176</v>
      </c>
      <c r="C133" s="71" t="s">
        <v>85</v>
      </c>
      <c r="D133" s="71" t="s">
        <v>83</v>
      </c>
      <c r="E133" s="72">
        <f>(2+8.7+1.6+10.6)*1.1</f>
        <v>25.19</v>
      </c>
      <c r="F133" s="77"/>
    </row>
    <row r="134" spans="1:7" ht="25.5" x14ac:dyDescent="0.2">
      <c r="A134" s="66">
        <v>20</v>
      </c>
      <c r="B134" s="70" t="s">
        <v>176</v>
      </c>
      <c r="C134" s="71" t="s">
        <v>86</v>
      </c>
      <c r="D134" s="71" t="s">
        <v>83</v>
      </c>
      <c r="E134" s="72">
        <f>(0.7+1.7+1.7+0.4)*1.1</f>
        <v>4.95</v>
      </c>
      <c r="F134" s="77"/>
    </row>
    <row r="135" spans="1:7" ht="25.5" x14ac:dyDescent="0.2">
      <c r="A135" s="66">
        <v>21</v>
      </c>
      <c r="B135" s="70" t="s">
        <v>179</v>
      </c>
      <c r="C135" s="71" t="s">
        <v>177</v>
      </c>
      <c r="D135" s="71" t="s">
        <v>83</v>
      </c>
      <c r="E135" s="72">
        <f>1.2*1.1</f>
        <v>1.32</v>
      </c>
      <c r="F135" s="77"/>
    </row>
    <row r="136" spans="1:7" ht="38.25" x14ac:dyDescent="0.2">
      <c r="A136" s="66">
        <v>22</v>
      </c>
      <c r="B136" s="80" t="s">
        <v>197</v>
      </c>
      <c r="C136" s="66" t="s">
        <v>198</v>
      </c>
      <c r="D136" s="66" t="s">
        <v>91</v>
      </c>
      <c r="E136" s="81">
        <f>(8.7+10.6)*0.35*3.14*1.1*1.3+(1.7+0.4)*0.415*3.14*1.1*1.3</f>
        <v>34.244510300000002</v>
      </c>
      <c r="F136" s="8" t="s">
        <v>199</v>
      </c>
    </row>
    <row r="137" spans="1:7" ht="25.5" x14ac:dyDescent="0.2">
      <c r="A137" s="66">
        <v>23</v>
      </c>
      <c r="B137" s="70" t="s">
        <v>92</v>
      </c>
      <c r="C137" s="71"/>
      <c r="D137" s="71" t="s">
        <v>78</v>
      </c>
      <c r="E137" s="73">
        <v>1</v>
      </c>
      <c r="F137" s="77"/>
    </row>
    <row r="138" spans="1:7" ht="25.5" x14ac:dyDescent="0.2">
      <c r="A138" s="66">
        <v>24</v>
      </c>
      <c r="B138" s="70" t="s">
        <v>93</v>
      </c>
      <c r="C138" s="71"/>
      <c r="D138" s="71" t="s">
        <v>78</v>
      </c>
      <c r="E138" s="73">
        <v>1</v>
      </c>
      <c r="F138" s="77"/>
    </row>
    <row r="139" spans="1:7" x14ac:dyDescent="0.2">
      <c r="A139" s="66">
        <v>25</v>
      </c>
      <c r="B139" s="70" t="s">
        <v>94</v>
      </c>
      <c r="C139" s="71"/>
      <c r="D139" s="71" t="s">
        <v>78</v>
      </c>
      <c r="E139" s="73">
        <v>1</v>
      </c>
      <c r="F139" s="77"/>
    </row>
    <row r="140" spans="1:7" ht="25.5" x14ac:dyDescent="0.2">
      <c r="A140" s="66">
        <v>26</v>
      </c>
      <c r="B140" s="70" t="s">
        <v>95</v>
      </c>
      <c r="C140" s="71"/>
      <c r="D140" s="71" t="s">
        <v>78</v>
      </c>
      <c r="E140" s="73">
        <v>1</v>
      </c>
      <c r="F140" s="77"/>
    </row>
    <row r="141" spans="1:7" ht="25.5" x14ac:dyDescent="0.2">
      <c r="A141" s="66">
        <v>27</v>
      </c>
      <c r="B141" s="70" t="s">
        <v>96</v>
      </c>
      <c r="C141" s="71"/>
      <c r="D141" s="71" t="s">
        <v>78</v>
      </c>
      <c r="E141" s="73">
        <v>1</v>
      </c>
      <c r="F141" s="77"/>
    </row>
    <row r="142" spans="1:7" x14ac:dyDescent="0.2">
      <c r="A142" s="69"/>
      <c r="B142" s="70"/>
      <c r="C142" s="71"/>
      <c r="D142" s="71"/>
      <c r="E142" s="73"/>
      <c r="F142" s="77"/>
    </row>
    <row r="143" spans="1:7" x14ac:dyDescent="0.2">
      <c r="A143" s="66"/>
      <c r="B143" s="79" t="s">
        <v>69</v>
      </c>
      <c r="C143" s="68"/>
      <c r="D143" s="68"/>
      <c r="E143" s="68"/>
      <c r="F143" s="71"/>
      <c r="G143" s="65"/>
    </row>
    <row r="144" spans="1:7" x14ac:dyDescent="0.2">
      <c r="A144" s="66">
        <v>1</v>
      </c>
      <c r="B144" s="70" t="s">
        <v>81</v>
      </c>
      <c r="C144" s="68" t="s">
        <v>167</v>
      </c>
      <c r="D144" s="71" t="s">
        <v>80</v>
      </c>
      <c r="E144" s="68">
        <v>1</v>
      </c>
      <c r="F144" s="71" t="s">
        <v>165</v>
      </c>
      <c r="G144" s="65"/>
    </row>
    <row r="145" spans="1:7" ht="38.25" x14ac:dyDescent="0.2">
      <c r="A145" s="66">
        <v>2</v>
      </c>
      <c r="B145" s="70" t="s">
        <v>171</v>
      </c>
      <c r="C145" s="71" t="s">
        <v>172</v>
      </c>
      <c r="D145" s="71" t="s">
        <v>78</v>
      </c>
      <c r="E145" s="71">
        <v>4</v>
      </c>
      <c r="F145" s="64" t="s">
        <v>169</v>
      </c>
      <c r="G145" s="65"/>
    </row>
    <row r="146" spans="1:7" x14ac:dyDescent="0.2">
      <c r="A146" s="66">
        <v>3</v>
      </c>
      <c r="B146" s="70" t="s">
        <v>174</v>
      </c>
      <c r="C146" s="71" t="s">
        <v>175</v>
      </c>
      <c r="D146" s="71" t="s">
        <v>80</v>
      </c>
      <c r="E146" s="64">
        <v>1</v>
      </c>
      <c r="F146" s="71" t="s">
        <v>165</v>
      </c>
    </row>
    <row r="147" spans="1:7" ht="25.5" x14ac:dyDescent="0.2">
      <c r="A147" s="66">
        <v>4</v>
      </c>
      <c r="B147" s="70" t="s">
        <v>176</v>
      </c>
      <c r="C147" s="71" t="s">
        <v>82</v>
      </c>
      <c r="D147" s="71" t="s">
        <v>83</v>
      </c>
      <c r="E147" s="72">
        <f>6*1.1</f>
        <v>6.6000000000000005</v>
      </c>
      <c r="F147" s="77"/>
    </row>
    <row r="148" spans="1:7" ht="25.5" x14ac:dyDescent="0.2">
      <c r="A148" s="66">
        <v>5</v>
      </c>
      <c r="B148" s="70" t="s">
        <v>176</v>
      </c>
      <c r="C148" s="71" t="s">
        <v>84</v>
      </c>
      <c r="D148" s="71" t="s">
        <v>83</v>
      </c>
      <c r="E148" s="72">
        <f>(2.6+1.1)*1.1</f>
        <v>4.07</v>
      </c>
      <c r="F148" s="77"/>
    </row>
    <row r="149" spans="1:7" ht="25.5" x14ac:dyDescent="0.2">
      <c r="A149" s="66">
        <v>6</v>
      </c>
      <c r="B149" s="70" t="s">
        <v>176</v>
      </c>
      <c r="C149" s="71" t="s">
        <v>85</v>
      </c>
      <c r="D149" s="71" t="s">
        <v>83</v>
      </c>
      <c r="E149" s="72">
        <f>(13.6+2.4+4.7)*1.1</f>
        <v>22.77</v>
      </c>
      <c r="F149" s="77"/>
    </row>
    <row r="150" spans="1:7" ht="25.5" x14ac:dyDescent="0.2">
      <c r="A150" s="66">
        <v>7</v>
      </c>
      <c r="B150" s="70" t="s">
        <v>179</v>
      </c>
      <c r="C150" s="71" t="s">
        <v>178</v>
      </c>
      <c r="D150" s="71" t="s">
        <v>83</v>
      </c>
      <c r="E150" s="72">
        <v>0.8</v>
      </c>
      <c r="F150" s="77"/>
    </row>
    <row r="151" spans="1:7" ht="38.25" x14ac:dyDescent="0.2">
      <c r="A151" s="66">
        <v>8</v>
      </c>
      <c r="B151" s="80" t="s">
        <v>197</v>
      </c>
      <c r="C151" s="66" t="s">
        <v>198</v>
      </c>
      <c r="D151" s="66" t="s">
        <v>91</v>
      </c>
      <c r="E151" s="81">
        <f>4.7*0.35*3.14*1.1*1.3</f>
        <v>7.3863790000000007</v>
      </c>
      <c r="F151" s="8" t="s">
        <v>199</v>
      </c>
    </row>
    <row r="152" spans="1:7" ht="25.5" x14ac:dyDescent="0.2">
      <c r="A152" s="66">
        <v>9</v>
      </c>
      <c r="B152" s="70" t="s">
        <v>92</v>
      </c>
      <c r="C152" s="71"/>
      <c r="D152" s="71" t="s">
        <v>78</v>
      </c>
      <c r="E152" s="73">
        <v>1</v>
      </c>
      <c r="F152" s="77"/>
    </row>
    <row r="153" spans="1:7" ht="25.5" x14ac:dyDescent="0.2">
      <c r="A153" s="66">
        <v>10</v>
      </c>
      <c r="B153" s="70" t="s">
        <v>93</v>
      </c>
      <c r="C153" s="71"/>
      <c r="D153" s="71" t="s">
        <v>78</v>
      </c>
      <c r="E153" s="73">
        <v>1</v>
      </c>
      <c r="F153" s="77"/>
    </row>
    <row r="154" spans="1:7" x14ac:dyDescent="0.2">
      <c r="A154" s="66">
        <v>11</v>
      </c>
      <c r="B154" s="70" t="s">
        <v>94</v>
      </c>
      <c r="C154" s="71"/>
      <c r="D154" s="71" t="s">
        <v>78</v>
      </c>
      <c r="E154" s="73">
        <v>1</v>
      </c>
      <c r="F154" s="77"/>
    </row>
    <row r="155" spans="1:7" ht="25.5" x14ac:dyDescent="0.2">
      <c r="A155" s="66">
        <v>12</v>
      </c>
      <c r="B155" s="70" t="s">
        <v>95</v>
      </c>
      <c r="C155" s="71"/>
      <c r="D155" s="71" t="s">
        <v>78</v>
      </c>
      <c r="E155" s="73">
        <v>1</v>
      </c>
      <c r="F155" s="77"/>
    </row>
    <row r="156" spans="1:7" ht="25.5" x14ac:dyDescent="0.2">
      <c r="A156" s="66">
        <v>13</v>
      </c>
      <c r="B156" s="70" t="s">
        <v>96</v>
      </c>
      <c r="C156" s="71"/>
      <c r="D156" s="71" t="s">
        <v>78</v>
      </c>
      <c r="E156" s="73">
        <v>1</v>
      </c>
      <c r="F156" s="77"/>
    </row>
    <row r="157" spans="1:7" x14ac:dyDescent="0.2">
      <c r="A157" s="69"/>
      <c r="B157" s="70"/>
      <c r="C157" s="71"/>
      <c r="D157" s="71"/>
      <c r="E157" s="73"/>
      <c r="F157" s="77"/>
    </row>
    <row r="158" spans="1:7" x14ac:dyDescent="0.2">
      <c r="A158" s="66"/>
      <c r="B158" s="79" t="s">
        <v>61</v>
      </c>
      <c r="C158" s="68"/>
      <c r="D158" s="68"/>
      <c r="E158" s="68"/>
      <c r="F158" s="71"/>
      <c r="G158" s="65"/>
    </row>
    <row r="159" spans="1:7" x14ac:dyDescent="0.2">
      <c r="A159" s="66">
        <v>1</v>
      </c>
      <c r="B159" s="70" t="s">
        <v>79</v>
      </c>
      <c r="C159" s="68" t="s">
        <v>205</v>
      </c>
      <c r="D159" s="71" t="s">
        <v>80</v>
      </c>
      <c r="E159" s="68">
        <v>2</v>
      </c>
      <c r="F159" s="71" t="s">
        <v>165</v>
      </c>
      <c r="G159" s="65"/>
    </row>
    <row r="160" spans="1:7" x14ac:dyDescent="0.2">
      <c r="A160" s="66">
        <v>2</v>
      </c>
      <c r="B160" s="70" t="s">
        <v>81</v>
      </c>
      <c r="C160" s="68" t="s">
        <v>181</v>
      </c>
      <c r="D160" s="71" t="s">
        <v>80</v>
      </c>
      <c r="E160" s="68">
        <v>4</v>
      </c>
      <c r="F160" s="71" t="s">
        <v>165</v>
      </c>
      <c r="G160" s="65"/>
    </row>
    <row r="161" spans="1:7" ht="38.25" x14ac:dyDescent="0.2">
      <c r="A161" s="66">
        <v>3</v>
      </c>
      <c r="B161" s="70" t="s">
        <v>171</v>
      </c>
      <c r="C161" s="71" t="s">
        <v>173</v>
      </c>
      <c r="D161" s="71" t="s">
        <v>78</v>
      </c>
      <c r="E161" s="71">
        <v>9</v>
      </c>
      <c r="F161" s="64" t="s">
        <v>169</v>
      </c>
      <c r="G161" s="65"/>
    </row>
    <row r="162" spans="1:7" ht="38.25" x14ac:dyDescent="0.2">
      <c r="A162" s="66">
        <v>4</v>
      </c>
      <c r="B162" s="70" t="s">
        <v>168</v>
      </c>
      <c r="C162" s="71" t="s">
        <v>170</v>
      </c>
      <c r="D162" s="71" t="s">
        <v>78</v>
      </c>
      <c r="E162" s="71">
        <v>6</v>
      </c>
      <c r="F162" s="64" t="s">
        <v>169</v>
      </c>
    </row>
    <row r="163" spans="1:7" ht="38.25" x14ac:dyDescent="0.2">
      <c r="A163" s="66">
        <v>5</v>
      </c>
      <c r="B163" s="70" t="s">
        <v>168</v>
      </c>
      <c r="C163" s="71" t="s">
        <v>200</v>
      </c>
      <c r="D163" s="71" t="s">
        <v>78</v>
      </c>
      <c r="E163" s="71">
        <v>1</v>
      </c>
      <c r="F163" s="64" t="s">
        <v>169</v>
      </c>
    </row>
    <row r="164" spans="1:7" ht="25.5" x14ac:dyDescent="0.2">
      <c r="A164" s="66">
        <v>6</v>
      </c>
      <c r="B164" s="70" t="s">
        <v>182</v>
      </c>
      <c r="C164" s="71" t="s">
        <v>201</v>
      </c>
      <c r="D164" s="71" t="s">
        <v>78</v>
      </c>
      <c r="E164" s="71">
        <v>1</v>
      </c>
      <c r="F164" s="71" t="s">
        <v>165</v>
      </c>
    </row>
    <row r="165" spans="1:7" ht="25.5" x14ac:dyDescent="0.2">
      <c r="A165" s="66">
        <v>7</v>
      </c>
      <c r="B165" s="70" t="s">
        <v>184</v>
      </c>
      <c r="C165" s="71" t="s">
        <v>185</v>
      </c>
      <c r="D165" s="71" t="s">
        <v>78</v>
      </c>
      <c r="E165" s="71">
        <v>1</v>
      </c>
      <c r="F165" s="71" t="s">
        <v>169</v>
      </c>
    </row>
    <row r="166" spans="1:7" x14ac:dyDescent="0.2">
      <c r="A166" s="66">
        <v>8</v>
      </c>
      <c r="B166" s="70" t="s">
        <v>186</v>
      </c>
      <c r="C166" s="71" t="s">
        <v>187</v>
      </c>
      <c r="D166" s="71" t="s">
        <v>78</v>
      </c>
      <c r="E166" s="71">
        <v>2</v>
      </c>
      <c r="F166" s="71" t="s">
        <v>165</v>
      </c>
    </row>
    <row r="167" spans="1:7" x14ac:dyDescent="0.2">
      <c r="A167" s="66">
        <v>9</v>
      </c>
      <c r="B167" s="70" t="s">
        <v>190</v>
      </c>
      <c r="C167" s="71" t="s">
        <v>191</v>
      </c>
      <c r="D167" s="71" t="s">
        <v>80</v>
      </c>
      <c r="E167" s="71">
        <v>3</v>
      </c>
      <c r="F167" s="71" t="s">
        <v>165</v>
      </c>
    </row>
    <row r="168" spans="1:7" x14ac:dyDescent="0.2">
      <c r="A168" s="66">
        <v>10</v>
      </c>
      <c r="B168" s="70" t="s">
        <v>190</v>
      </c>
      <c r="C168" s="71" t="s">
        <v>192</v>
      </c>
      <c r="D168" s="71" t="s">
        <v>80</v>
      </c>
      <c r="E168" s="71">
        <v>7</v>
      </c>
      <c r="F168" s="71" t="s">
        <v>165</v>
      </c>
    </row>
    <row r="169" spans="1:7" x14ac:dyDescent="0.2">
      <c r="A169" s="66">
        <v>11</v>
      </c>
      <c r="B169" s="70" t="s">
        <v>190</v>
      </c>
      <c r="C169" s="71" t="s">
        <v>203</v>
      </c>
      <c r="D169" s="71" t="s">
        <v>80</v>
      </c>
      <c r="E169" s="71">
        <v>4</v>
      </c>
      <c r="F169" s="71" t="s">
        <v>165</v>
      </c>
    </row>
    <row r="170" spans="1:7" x14ac:dyDescent="0.2">
      <c r="A170" s="66">
        <v>12</v>
      </c>
      <c r="B170" s="70" t="s">
        <v>190</v>
      </c>
      <c r="C170" s="71" t="s">
        <v>202</v>
      </c>
      <c r="D170" s="71" t="s">
        <v>80</v>
      </c>
      <c r="E170" s="71">
        <v>2</v>
      </c>
      <c r="F170" s="71" t="s">
        <v>165</v>
      </c>
    </row>
    <row r="171" spans="1:7" x14ac:dyDescent="0.2">
      <c r="A171" s="66">
        <v>13</v>
      </c>
      <c r="B171" s="70" t="s">
        <v>174</v>
      </c>
      <c r="C171" s="71" t="s">
        <v>189</v>
      </c>
      <c r="D171" s="71" t="s">
        <v>80</v>
      </c>
      <c r="E171" s="64">
        <v>2</v>
      </c>
      <c r="F171" s="71" t="s">
        <v>165</v>
      </c>
    </row>
    <row r="172" spans="1:7" ht="25.5" x14ac:dyDescent="0.2">
      <c r="A172" s="66">
        <v>14</v>
      </c>
      <c r="B172" s="70" t="s">
        <v>176</v>
      </c>
      <c r="C172" s="71" t="s">
        <v>99</v>
      </c>
      <c r="D172" s="71" t="s">
        <v>83</v>
      </c>
      <c r="E172" s="72">
        <v>3</v>
      </c>
      <c r="F172" s="71"/>
    </row>
    <row r="173" spans="1:7" ht="25.5" x14ac:dyDescent="0.2">
      <c r="A173" s="66">
        <v>15</v>
      </c>
      <c r="B173" s="70" t="s">
        <v>176</v>
      </c>
      <c r="C173" s="71" t="s">
        <v>98</v>
      </c>
      <c r="D173" s="71" t="s">
        <v>83</v>
      </c>
      <c r="E173" s="72">
        <f>(6.7+2.6+3+2.1+1.6+2.1+5.1+1.8+1.3+1.5)*1.1</f>
        <v>30.580000000000005</v>
      </c>
      <c r="F173" s="71"/>
    </row>
    <row r="174" spans="1:7" ht="25.5" x14ac:dyDescent="0.2">
      <c r="A174" s="66">
        <v>16</v>
      </c>
      <c r="B174" s="70" t="s">
        <v>176</v>
      </c>
      <c r="C174" s="71" t="s">
        <v>82</v>
      </c>
      <c r="D174" s="71" t="s">
        <v>83</v>
      </c>
      <c r="E174" s="72">
        <f>(13.1+1.2+4.8+2.3+4)*1.1</f>
        <v>27.94</v>
      </c>
      <c r="F174" s="77"/>
    </row>
    <row r="175" spans="1:7" ht="25.5" x14ac:dyDescent="0.2">
      <c r="A175" s="66">
        <v>17</v>
      </c>
      <c r="B175" s="70" t="s">
        <v>176</v>
      </c>
      <c r="C175" s="71" t="s">
        <v>84</v>
      </c>
      <c r="D175" s="71" t="s">
        <v>83</v>
      </c>
      <c r="E175" s="72">
        <f>(3.1+11.2+7.1+2.3)*1.1</f>
        <v>26.07</v>
      </c>
      <c r="F175" s="77"/>
    </row>
    <row r="176" spans="1:7" ht="25.5" x14ac:dyDescent="0.2">
      <c r="A176" s="66">
        <v>18</v>
      </c>
      <c r="B176" s="70" t="s">
        <v>176</v>
      </c>
      <c r="C176" s="71" t="s">
        <v>86</v>
      </c>
      <c r="D176" s="71" t="s">
        <v>83</v>
      </c>
      <c r="E176" s="72">
        <f>1.2*1.1</f>
        <v>1.32</v>
      </c>
      <c r="F176" s="77"/>
    </row>
    <row r="177" spans="1:7" ht="25.5" x14ac:dyDescent="0.2">
      <c r="A177" s="66">
        <v>19</v>
      </c>
      <c r="B177" s="70" t="s">
        <v>179</v>
      </c>
      <c r="C177" s="71" t="s">
        <v>177</v>
      </c>
      <c r="D177" s="71" t="s">
        <v>83</v>
      </c>
      <c r="E177" s="72">
        <v>3</v>
      </c>
      <c r="F177" s="77"/>
    </row>
    <row r="178" spans="1:7" ht="25.5" x14ac:dyDescent="0.2">
      <c r="A178" s="66">
        <v>20</v>
      </c>
      <c r="B178" s="70" t="s">
        <v>179</v>
      </c>
      <c r="C178" s="71" t="s">
        <v>178</v>
      </c>
      <c r="D178" s="71" t="s">
        <v>83</v>
      </c>
      <c r="E178" s="72">
        <v>0.2</v>
      </c>
      <c r="F178" s="77"/>
    </row>
    <row r="179" spans="1:7" ht="25.5" x14ac:dyDescent="0.2">
      <c r="A179" s="66">
        <v>21</v>
      </c>
      <c r="B179" s="70" t="s">
        <v>179</v>
      </c>
      <c r="C179" s="71" t="s">
        <v>234</v>
      </c>
      <c r="D179" s="71" t="s">
        <v>83</v>
      </c>
      <c r="E179" s="72">
        <f>4.2*1.1</f>
        <v>4.620000000000001</v>
      </c>
      <c r="F179" s="77"/>
    </row>
    <row r="180" spans="1:7" ht="25.5" x14ac:dyDescent="0.2">
      <c r="A180" s="66">
        <v>22</v>
      </c>
      <c r="B180" s="70" t="s">
        <v>179</v>
      </c>
      <c r="C180" s="71" t="s">
        <v>235</v>
      </c>
      <c r="D180" s="71" t="s">
        <v>83</v>
      </c>
      <c r="E180" s="72">
        <f>(14.5+1.8+0.5+0.7)*1.1</f>
        <v>19.25</v>
      </c>
      <c r="F180" s="77"/>
    </row>
    <row r="181" spans="1:7" ht="25.5" x14ac:dyDescent="0.2">
      <c r="A181" s="66">
        <v>23</v>
      </c>
      <c r="B181" s="70" t="s">
        <v>179</v>
      </c>
      <c r="C181" s="71" t="s">
        <v>234</v>
      </c>
      <c r="D181" s="71" t="s">
        <v>83</v>
      </c>
      <c r="E181" s="72">
        <v>0.2</v>
      </c>
      <c r="F181" s="77"/>
    </row>
    <row r="182" spans="1:7" ht="25.5" x14ac:dyDescent="0.2">
      <c r="A182" s="66">
        <v>24</v>
      </c>
      <c r="B182" s="70" t="s">
        <v>179</v>
      </c>
      <c r="C182" s="71" t="s">
        <v>100</v>
      </c>
      <c r="D182" s="71" t="s">
        <v>83</v>
      </c>
      <c r="E182" s="72">
        <v>1</v>
      </c>
      <c r="F182" s="77"/>
    </row>
    <row r="183" spans="1:7" ht="25.5" x14ac:dyDescent="0.2">
      <c r="A183" s="66">
        <v>25</v>
      </c>
      <c r="B183" s="70" t="s">
        <v>179</v>
      </c>
      <c r="C183" s="71" t="s">
        <v>87</v>
      </c>
      <c r="D183" s="71" t="s">
        <v>83</v>
      </c>
      <c r="E183" s="72">
        <f>(9)*1.1</f>
        <v>9.9</v>
      </c>
      <c r="F183" s="77"/>
    </row>
    <row r="184" spans="1:7" ht="25.5" x14ac:dyDescent="0.2">
      <c r="A184" s="66">
        <v>26</v>
      </c>
      <c r="B184" s="70" t="s">
        <v>179</v>
      </c>
      <c r="C184" s="71" t="s">
        <v>232</v>
      </c>
      <c r="D184" s="71" t="s">
        <v>83</v>
      </c>
      <c r="E184" s="72">
        <f>(2.4+3.8+2.2+4.5+1.9)*1.1</f>
        <v>16.28</v>
      </c>
      <c r="F184" s="77"/>
    </row>
    <row r="185" spans="1:7" ht="38.25" x14ac:dyDescent="0.2">
      <c r="A185" s="66">
        <v>27</v>
      </c>
      <c r="B185" s="80" t="s">
        <v>197</v>
      </c>
      <c r="C185" s="66" t="s">
        <v>198</v>
      </c>
      <c r="D185" s="66" t="s">
        <v>91</v>
      </c>
      <c r="E185" s="81">
        <f>(0.6*0.415*3.14*1.1*1.3)+1.5*9*1.1*1.3+(3.8+2.2+1.9)*1.6*1.1*1.3</f>
        <v>38.498259800000007</v>
      </c>
      <c r="F185" s="8" t="s">
        <v>199</v>
      </c>
    </row>
    <row r="186" spans="1:7" ht="25.5" x14ac:dyDescent="0.2">
      <c r="A186" s="66">
        <v>28</v>
      </c>
      <c r="B186" s="70" t="s">
        <v>92</v>
      </c>
      <c r="C186" s="71"/>
      <c r="D186" s="71" t="s">
        <v>78</v>
      </c>
      <c r="E186" s="73">
        <v>1</v>
      </c>
      <c r="F186" s="77"/>
    </row>
    <row r="187" spans="1:7" ht="25.5" x14ac:dyDescent="0.2">
      <c r="A187" s="66">
        <v>29</v>
      </c>
      <c r="B187" s="70" t="s">
        <v>93</v>
      </c>
      <c r="C187" s="71"/>
      <c r="D187" s="71" t="s">
        <v>78</v>
      </c>
      <c r="E187" s="73">
        <v>1</v>
      </c>
      <c r="F187" s="77"/>
    </row>
    <row r="188" spans="1:7" x14ac:dyDescent="0.2">
      <c r="A188" s="66">
        <v>30</v>
      </c>
      <c r="B188" s="70" t="s">
        <v>94</v>
      </c>
      <c r="C188" s="71"/>
      <c r="D188" s="71" t="s">
        <v>78</v>
      </c>
      <c r="E188" s="73">
        <v>1</v>
      </c>
      <c r="F188" s="77"/>
    </row>
    <row r="189" spans="1:7" ht="25.5" x14ac:dyDescent="0.2">
      <c r="A189" s="66">
        <v>31</v>
      </c>
      <c r="B189" s="70" t="s">
        <v>95</v>
      </c>
      <c r="C189" s="71"/>
      <c r="D189" s="71" t="s">
        <v>78</v>
      </c>
      <c r="E189" s="73">
        <v>1</v>
      </c>
      <c r="F189" s="77"/>
    </row>
    <row r="190" spans="1:7" ht="25.5" x14ac:dyDescent="0.2">
      <c r="A190" s="66">
        <v>32</v>
      </c>
      <c r="B190" s="70" t="s">
        <v>96</v>
      </c>
      <c r="C190" s="71"/>
      <c r="D190" s="71" t="s">
        <v>78</v>
      </c>
      <c r="E190" s="73">
        <v>1</v>
      </c>
      <c r="F190" s="77"/>
    </row>
    <row r="191" spans="1:7" x14ac:dyDescent="0.2">
      <c r="A191" s="69"/>
      <c r="B191" s="70"/>
      <c r="C191" s="71"/>
      <c r="D191" s="71"/>
      <c r="E191" s="73"/>
      <c r="F191" s="77"/>
    </row>
    <row r="192" spans="1:7" x14ac:dyDescent="0.2">
      <c r="A192" s="66"/>
      <c r="B192" s="79" t="s">
        <v>62</v>
      </c>
      <c r="C192" s="68"/>
      <c r="D192" s="68"/>
      <c r="E192" s="68"/>
      <c r="F192" s="71"/>
      <c r="G192" s="65"/>
    </row>
    <row r="193" spans="1:7" x14ac:dyDescent="0.2">
      <c r="A193" s="66">
        <v>1</v>
      </c>
      <c r="B193" s="70" t="s">
        <v>79</v>
      </c>
      <c r="C193" s="68" t="s">
        <v>180</v>
      </c>
      <c r="D193" s="71" t="s">
        <v>80</v>
      </c>
      <c r="E193" s="68">
        <v>1</v>
      </c>
      <c r="F193" s="71" t="s">
        <v>165</v>
      </c>
      <c r="G193" s="65"/>
    </row>
    <row r="194" spans="1:7" x14ac:dyDescent="0.2">
      <c r="A194" s="66">
        <v>2</v>
      </c>
      <c r="B194" s="70" t="s">
        <v>79</v>
      </c>
      <c r="C194" s="68" t="s">
        <v>206</v>
      </c>
      <c r="D194" s="71" t="s">
        <v>80</v>
      </c>
      <c r="E194" s="68">
        <v>1</v>
      </c>
      <c r="F194" s="71" t="s">
        <v>165</v>
      </c>
      <c r="G194" s="65"/>
    </row>
    <row r="195" spans="1:7" x14ac:dyDescent="0.2">
      <c r="A195" s="66">
        <v>3</v>
      </c>
      <c r="B195" s="70" t="s">
        <v>81</v>
      </c>
      <c r="C195" s="68" t="s">
        <v>207</v>
      </c>
      <c r="D195" s="71" t="s">
        <v>80</v>
      </c>
      <c r="E195" s="68">
        <v>2</v>
      </c>
      <c r="F195" s="71" t="s">
        <v>165</v>
      </c>
      <c r="G195" s="65"/>
    </row>
    <row r="196" spans="1:7" ht="38.25" x14ac:dyDescent="0.2">
      <c r="A196" s="66">
        <v>4</v>
      </c>
      <c r="B196" s="70" t="s">
        <v>171</v>
      </c>
      <c r="C196" s="71" t="s">
        <v>173</v>
      </c>
      <c r="D196" s="71" t="s">
        <v>78</v>
      </c>
      <c r="E196" s="71">
        <v>8</v>
      </c>
      <c r="F196" s="64" t="s">
        <v>169</v>
      </c>
      <c r="G196" s="65"/>
    </row>
    <row r="197" spans="1:7" ht="38.25" x14ac:dyDescent="0.2">
      <c r="A197" s="66">
        <v>5</v>
      </c>
      <c r="B197" s="70" t="s">
        <v>168</v>
      </c>
      <c r="C197" s="71" t="s">
        <v>170</v>
      </c>
      <c r="D197" s="71" t="s">
        <v>78</v>
      </c>
      <c r="E197" s="71">
        <v>8</v>
      </c>
      <c r="F197" s="64" t="s">
        <v>169</v>
      </c>
    </row>
    <row r="198" spans="1:7" ht="25.5" x14ac:dyDescent="0.2">
      <c r="A198" s="66">
        <v>6</v>
      </c>
      <c r="B198" s="70" t="s">
        <v>184</v>
      </c>
      <c r="C198" s="71" t="s">
        <v>185</v>
      </c>
      <c r="D198" s="71" t="s">
        <v>78</v>
      </c>
      <c r="E198" s="71">
        <v>3</v>
      </c>
      <c r="F198" s="71" t="s">
        <v>169</v>
      </c>
    </row>
    <row r="199" spans="1:7" x14ac:dyDescent="0.2">
      <c r="A199" s="66">
        <v>7</v>
      </c>
      <c r="B199" s="70" t="s">
        <v>186</v>
      </c>
      <c r="C199" s="71" t="s">
        <v>187</v>
      </c>
      <c r="D199" s="71" t="s">
        <v>78</v>
      </c>
      <c r="E199" s="71">
        <v>2</v>
      </c>
      <c r="F199" s="71" t="s">
        <v>165</v>
      </c>
    </row>
    <row r="200" spans="1:7" x14ac:dyDescent="0.2">
      <c r="A200" s="66">
        <v>8</v>
      </c>
      <c r="B200" s="70" t="s">
        <v>190</v>
      </c>
      <c r="C200" s="71" t="s">
        <v>191</v>
      </c>
      <c r="D200" s="71" t="s">
        <v>80</v>
      </c>
      <c r="E200" s="71">
        <v>5</v>
      </c>
      <c r="F200" s="71" t="s">
        <v>165</v>
      </c>
    </row>
    <row r="201" spans="1:7" x14ac:dyDescent="0.2">
      <c r="A201" s="66">
        <v>9</v>
      </c>
      <c r="B201" s="70" t="s">
        <v>190</v>
      </c>
      <c r="C201" s="71" t="s">
        <v>208</v>
      </c>
      <c r="D201" s="71" t="s">
        <v>80</v>
      </c>
      <c r="E201" s="71">
        <v>1</v>
      </c>
      <c r="F201" s="71" t="s">
        <v>165</v>
      </c>
    </row>
    <row r="202" spans="1:7" x14ac:dyDescent="0.2">
      <c r="A202" s="66">
        <v>10</v>
      </c>
      <c r="B202" s="70" t="s">
        <v>174</v>
      </c>
      <c r="C202" s="71" t="s">
        <v>189</v>
      </c>
      <c r="D202" s="71" t="s">
        <v>80</v>
      </c>
      <c r="E202" s="64">
        <v>2</v>
      </c>
      <c r="F202" s="71" t="s">
        <v>165</v>
      </c>
    </row>
    <row r="203" spans="1:7" ht="25.5" x14ac:dyDescent="0.2">
      <c r="A203" s="66">
        <v>11</v>
      </c>
      <c r="B203" s="70" t="s">
        <v>176</v>
      </c>
      <c r="C203" s="71" t="s">
        <v>99</v>
      </c>
      <c r="D203" s="71" t="s">
        <v>83</v>
      </c>
      <c r="E203" s="72">
        <f>(1.6+0.8+0.8+1.7+3.5)*1.1</f>
        <v>9.240000000000002</v>
      </c>
      <c r="F203" s="71"/>
    </row>
    <row r="204" spans="1:7" ht="25.5" x14ac:dyDescent="0.2">
      <c r="A204" s="66">
        <v>12</v>
      </c>
      <c r="B204" s="70" t="s">
        <v>176</v>
      </c>
      <c r="C204" s="71" t="s">
        <v>98</v>
      </c>
      <c r="D204" s="71" t="s">
        <v>83</v>
      </c>
      <c r="E204" s="72">
        <f>6.1*1.1</f>
        <v>6.71</v>
      </c>
      <c r="F204" s="71"/>
    </row>
    <row r="205" spans="1:7" ht="25.5" x14ac:dyDescent="0.2">
      <c r="A205" s="66">
        <v>13</v>
      </c>
      <c r="B205" s="70" t="s">
        <v>176</v>
      </c>
      <c r="C205" s="71" t="s">
        <v>82</v>
      </c>
      <c r="D205" s="71" t="s">
        <v>83</v>
      </c>
      <c r="E205" s="72">
        <f>(2.9+3.3)*1.1</f>
        <v>6.8199999999999994</v>
      </c>
      <c r="F205" s="77"/>
    </row>
    <row r="206" spans="1:7" ht="25.5" x14ac:dyDescent="0.2">
      <c r="A206" s="66">
        <v>14</v>
      </c>
      <c r="B206" s="70" t="s">
        <v>176</v>
      </c>
      <c r="C206" s="71" t="s">
        <v>84</v>
      </c>
      <c r="D206" s="71" t="s">
        <v>83</v>
      </c>
      <c r="E206" s="72">
        <f>(10.4+3.2)*1.1</f>
        <v>14.960000000000003</v>
      </c>
      <c r="F206" s="77"/>
    </row>
    <row r="207" spans="1:7" ht="25.5" x14ac:dyDescent="0.2">
      <c r="A207" s="66">
        <v>15</v>
      </c>
      <c r="B207" s="70" t="s">
        <v>176</v>
      </c>
      <c r="C207" s="71" t="s">
        <v>86</v>
      </c>
      <c r="D207" s="71" t="s">
        <v>83</v>
      </c>
      <c r="E207" s="72">
        <f>(0.4+2.4+0.4+2.4)*1.1</f>
        <v>6.16</v>
      </c>
      <c r="F207" s="77"/>
    </row>
    <row r="208" spans="1:7" ht="25.5" x14ac:dyDescent="0.2">
      <c r="A208" s="66">
        <v>16</v>
      </c>
      <c r="B208" s="70" t="s">
        <v>179</v>
      </c>
      <c r="C208" s="71" t="s">
        <v>177</v>
      </c>
      <c r="D208" s="71" t="s">
        <v>83</v>
      </c>
      <c r="E208" s="72">
        <v>3.2</v>
      </c>
      <c r="F208" s="77"/>
    </row>
    <row r="209" spans="1:7" ht="25.5" x14ac:dyDescent="0.2">
      <c r="A209" s="66">
        <v>17</v>
      </c>
      <c r="B209" s="70" t="s">
        <v>179</v>
      </c>
      <c r="C209" s="71" t="s">
        <v>236</v>
      </c>
      <c r="D209" s="71" t="s">
        <v>83</v>
      </c>
      <c r="E209" s="72">
        <f>3*1.1</f>
        <v>3.3000000000000003</v>
      </c>
      <c r="F209" s="77"/>
    </row>
    <row r="210" spans="1:7" ht="25.5" x14ac:dyDescent="0.2">
      <c r="A210" s="66">
        <v>18</v>
      </c>
      <c r="B210" s="70" t="s">
        <v>179</v>
      </c>
      <c r="C210" s="71" t="s">
        <v>235</v>
      </c>
      <c r="D210" s="71" t="s">
        <v>83</v>
      </c>
      <c r="E210" s="72">
        <f>(9.4+4.2+3.9)*1.1</f>
        <v>19.25</v>
      </c>
      <c r="F210" s="77"/>
    </row>
    <row r="211" spans="1:7" ht="25.5" x14ac:dyDescent="0.2">
      <c r="A211" s="66">
        <v>19</v>
      </c>
      <c r="B211" s="70" t="s">
        <v>179</v>
      </c>
      <c r="C211" s="71" t="s">
        <v>89</v>
      </c>
      <c r="D211" s="71" t="s">
        <v>83</v>
      </c>
      <c r="E211" s="72">
        <f>3.7*1.1</f>
        <v>4.07</v>
      </c>
      <c r="F211" s="77"/>
    </row>
    <row r="212" spans="1:7" ht="25.5" x14ac:dyDescent="0.2">
      <c r="A212" s="66">
        <v>20</v>
      </c>
      <c r="B212" s="70" t="s">
        <v>179</v>
      </c>
      <c r="C212" s="71" t="s">
        <v>100</v>
      </c>
      <c r="D212" s="71" t="s">
        <v>83</v>
      </c>
      <c r="E212" s="72">
        <f>(0.7+0.7+3+2.4)*1.1</f>
        <v>7.4800000000000013</v>
      </c>
      <c r="F212" s="77"/>
    </row>
    <row r="213" spans="1:7" ht="25.5" x14ac:dyDescent="0.2">
      <c r="A213" s="66">
        <v>21</v>
      </c>
      <c r="B213" s="70" t="s">
        <v>179</v>
      </c>
      <c r="C213" s="71" t="s">
        <v>87</v>
      </c>
      <c r="D213" s="71" t="s">
        <v>83</v>
      </c>
      <c r="E213" s="72">
        <f>3.6*1.1</f>
        <v>3.9600000000000004</v>
      </c>
      <c r="F213" s="77"/>
    </row>
    <row r="214" spans="1:7" ht="38.25" x14ac:dyDescent="0.2">
      <c r="A214" s="66">
        <v>22</v>
      </c>
      <c r="B214" s="80" t="s">
        <v>197</v>
      </c>
      <c r="C214" s="66" t="s">
        <v>198</v>
      </c>
      <c r="D214" s="66" t="s">
        <v>91</v>
      </c>
      <c r="E214" s="81">
        <f>E207*0.415*3.14*1.3+(0.7+2.4)*1.4*1.1*1.3+3.6*1.5*1.1*1.3</f>
        <v>24.363424800000001</v>
      </c>
      <c r="F214" s="8" t="s">
        <v>199</v>
      </c>
    </row>
    <row r="215" spans="1:7" ht="25.5" x14ac:dyDescent="0.2">
      <c r="A215" s="66">
        <v>23</v>
      </c>
      <c r="B215" s="70" t="s">
        <v>92</v>
      </c>
      <c r="C215" s="71"/>
      <c r="D215" s="71" t="s">
        <v>78</v>
      </c>
      <c r="E215" s="73">
        <v>1</v>
      </c>
      <c r="F215" s="77"/>
    </row>
    <row r="216" spans="1:7" ht="25.5" x14ac:dyDescent="0.2">
      <c r="A216" s="66">
        <v>24</v>
      </c>
      <c r="B216" s="70" t="s">
        <v>93</v>
      </c>
      <c r="C216" s="71"/>
      <c r="D216" s="71" t="s">
        <v>78</v>
      </c>
      <c r="E216" s="73">
        <v>1</v>
      </c>
      <c r="F216" s="77"/>
    </row>
    <row r="217" spans="1:7" x14ac:dyDescent="0.2">
      <c r="A217" s="66">
        <v>25</v>
      </c>
      <c r="B217" s="70" t="s">
        <v>94</v>
      </c>
      <c r="C217" s="71"/>
      <c r="D217" s="71" t="s">
        <v>78</v>
      </c>
      <c r="E217" s="73">
        <v>1</v>
      </c>
      <c r="F217" s="77"/>
    </row>
    <row r="218" spans="1:7" ht="25.5" x14ac:dyDescent="0.2">
      <c r="A218" s="66">
        <v>26</v>
      </c>
      <c r="B218" s="70" t="s">
        <v>95</v>
      </c>
      <c r="C218" s="71"/>
      <c r="D218" s="71" t="s">
        <v>78</v>
      </c>
      <c r="E218" s="73">
        <v>1</v>
      </c>
      <c r="F218" s="77"/>
    </row>
    <row r="219" spans="1:7" ht="25.5" x14ac:dyDescent="0.2">
      <c r="A219" s="66">
        <v>27</v>
      </c>
      <c r="B219" s="70" t="s">
        <v>96</v>
      </c>
      <c r="C219" s="71"/>
      <c r="D219" s="71" t="s">
        <v>78</v>
      </c>
      <c r="E219" s="73">
        <v>1</v>
      </c>
      <c r="F219" s="77"/>
    </row>
    <row r="220" spans="1:7" x14ac:dyDescent="0.2">
      <c r="A220" s="69"/>
      <c r="B220" s="70"/>
      <c r="C220" s="71"/>
      <c r="D220" s="71"/>
      <c r="E220" s="73"/>
      <c r="F220" s="77"/>
    </row>
    <row r="221" spans="1:7" x14ac:dyDescent="0.2">
      <c r="A221" s="66"/>
      <c r="B221" s="79" t="s">
        <v>63</v>
      </c>
      <c r="C221" s="68"/>
      <c r="D221" s="68"/>
      <c r="E221" s="68"/>
      <c r="F221" s="71"/>
      <c r="G221" s="65"/>
    </row>
    <row r="222" spans="1:7" ht="25.5" x14ac:dyDescent="0.2">
      <c r="A222" s="66">
        <v>1</v>
      </c>
      <c r="B222" s="82" t="s">
        <v>209</v>
      </c>
      <c r="C222" s="68" t="s">
        <v>210</v>
      </c>
      <c r="D222" s="71" t="s">
        <v>78</v>
      </c>
      <c r="E222" s="68">
        <v>2</v>
      </c>
      <c r="F222" s="71" t="s">
        <v>169</v>
      </c>
      <c r="G222" s="65"/>
    </row>
    <row r="223" spans="1:7" x14ac:dyDescent="0.2">
      <c r="A223" s="66">
        <v>2</v>
      </c>
      <c r="B223" s="70" t="s">
        <v>79</v>
      </c>
      <c r="C223" s="68" t="s">
        <v>166</v>
      </c>
      <c r="D223" s="71" t="s">
        <v>80</v>
      </c>
      <c r="E223" s="68">
        <v>2</v>
      </c>
      <c r="F223" s="71" t="s">
        <v>165</v>
      </c>
      <c r="G223" s="65"/>
    </row>
    <row r="224" spans="1:7" x14ac:dyDescent="0.2">
      <c r="A224" s="66">
        <v>3</v>
      </c>
      <c r="B224" s="70" t="s">
        <v>81</v>
      </c>
      <c r="C224" s="68" t="s">
        <v>167</v>
      </c>
      <c r="D224" s="71" t="s">
        <v>80</v>
      </c>
      <c r="E224" s="68">
        <v>3</v>
      </c>
      <c r="F224" s="71" t="s">
        <v>165</v>
      </c>
      <c r="G224" s="65"/>
    </row>
    <row r="225" spans="1:7" ht="38.25" x14ac:dyDescent="0.2">
      <c r="A225" s="66">
        <v>4</v>
      </c>
      <c r="B225" s="70" t="s">
        <v>171</v>
      </c>
      <c r="C225" s="71" t="s">
        <v>173</v>
      </c>
      <c r="D225" s="71" t="s">
        <v>78</v>
      </c>
      <c r="E225" s="71">
        <v>6</v>
      </c>
      <c r="F225" s="64" t="s">
        <v>169</v>
      </c>
      <c r="G225" s="65"/>
    </row>
    <row r="226" spans="1:7" ht="38.25" x14ac:dyDescent="0.2">
      <c r="A226" s="66">
        <v>5</v>
      </c>
      <c r="B226" s="70" t="s">
        <v>168</v>
      </c>
      <c r="C226" s="71" t="s">
        <v>170</v>
      </c>
      <c r="D226" s="71" t="s">
        <v>78</v>
      </c>
      <c r="E226" s="71">
        <v>5</v>
      </c>
      <c r="F226" s="64" t="s">
        <v>169</v>
      </c>
    </row>
    <row r="227" spans="1:7" x14ac:dyDescent="0.2">
      <c r="A227" s="66">
        <v>6</v>
      </c>
      <c r="B227" s="70" t="s">
        <v>186</v>
      </c>
      <c r="C227" s="71" t="s">
        <v>187</v>
      </c>
      <c r="D227" s="71" t="s">
        <v>78</v>
      </c>
      <c r="E227" s="71">
        <v>4</v>
      </c>
      <c r="F227" s="71" t="s">
        <v>165</v>
      </c>
    </row>
    <row r="228" spans="1:7" x14ac:dyDescent="0.2">
      <c r="A228" s="66">
        <v>7</v>
      </c>
      <c r="B228" s="70" t="s">
        <v>190</v>
      </c>
      <c r="C228" s="71" t="s">
        <v>191</v>
      </c>
      <c r="D228" s="71" t="s">
        <v>80</v>
      </c>
      <c r="E228" s="71">
        <v>2</v>
      </c>
      <c r="F228" s="71" t="s">
        <v>165</v>
      </c>
    </row>
    <row r="229" spans="1:7" x14ac:dyDescent="0.2">
      <c r="A229" s="66">
        <v>8</v>
      </c>
      <c r="B229" s="70" t="s">
        <v>190</v>
      </c>
      <c r="C229" s="71" t="s">
        <v>192</v>
      </c>
      <c r="D229" s="71" t="s">
        <v>80</v>
      </c>
      <c r="E229" s="71">
        <v>1</v>
      </c>
      <c r="F229" s="71" t="s">
        <v>165</v>
      </c>
    </row>
    <row r="230" spans="1:7" x14ac:dyDescent="0.2">
      <c r="A230" s="66">
        <v>9</v>
      </c>
      <c r="B230" s="70" t="s">
        <v>190</v>
      </c>
      <c r="C230" s="71" t="s">
        <v>202</v>
      </c>
      <c r="D230" s="71" t="s">
        <v>80</v>
      </c>
      <c r="E230" s="71">
        <v>3</v>
      </c>
      <c r="F230" s="71" t="s">
        <v>165</v>
      </c>
    </row>
    <row r="231" spans="1:7" x14ac:dyDescent="0.2">
      <c r="A231" s="66">
        <v>10</v>
      </c>
      <c r="B231" s="70" t="s">
        <v>193</v>
      </c>
      <c r="C231" s="71" t="s">
        <v>194</v>
      </c>
      <c r="D231" s="71" t="s">
        <v>80</v>
      </c>
      <c r="E231" s="71">
        <v>2</v>
      </c>
      <c r="F231" s="71" t="s">
        <v>165</v>
      </c>
    </row>
    <row r="232" spans="1:7" ht="25.5" x14ac:dyDescent="0.2">
      <c r="A232" s="66">
        <v>11</v>
      </c>
      <c r="B232" s="70" t="s">
        <v>176</v>
      </c>
      <c r="C232" s="71" t="s">
        <v>99</v>
      </c>
      <c r="D232" s="71" t="s">
        <v>83</v>
      </c>
      <c r="E232" s="72">
        <f>(0.3+1+3+3.2)*1.1</f>
        <v>8.25</v>
      </c>
      <c r="F232" s="71"/>
    </row>
    <row r="233" spans="1:7" ht="25.5" x14ac:dyDescent="0.2">
      <c r="A233" s="66">
        <v>12</v>
      </c>
      <c r="B233" s="70" t="s">
        <v>176</v>
      </c>
      <c r="C233" s="71" t="s">
        <v>98</v>
      </c>
      <c r="D233" s="71" t="s">
        <v>83</v>
      </c>
      <c r="E233" s="72">
        <f>(2.9+13+7+3.1)*1.1</f>
        <v>28.6</v>
      </c>
      <c r="F233" s="71"/>
    </row>
    <row r="234" spans="1:7" ht="25.5" x14ac:dyDescent="0.2">
      <c r="A234" s="66">
        <v>13</v>
      </c>
      <c r="B234" s="70" t="s">
        <v>176</v>
      </c>
      <c r="C234" s="71" t="s">
        <v>82</v>
      </c>
      <c r="D234" s="71" t="s">
        <v>83</v>
      </c>
      <c r="E234" s="72">
        <f>(2.8+3.2+2.8+3.1)*1.1</f>
        <v>13.090000000000002</v>
      </c>
      <c r="F234" s="77"/>
    </row>
    <row r="235" spans="1:7" ht="25.5" x14ac:dyDescent="0.2">
      <c r="A235" s="66">
        <v>14</v>
      </c>
      <c r="B235" s="70" t="s">
        <v>176</v>
      </c>
      <c r="C235" s="71" t="s">
        <v>84</v>
      </c>
      <c r="D235" s="71" t="s">
        <v>83</v>
      </c>
      <c r="E235" s="72">
        <f>(5.7+1.8+12.8+1.7)*1.1</f>
        <v>24.200000000000003</v>
      </c>
      <c r="F235" s="77"/>
    </row>
    <row r="236" spans="1:7" ht="25.5" x14ac:dyDescent="0.2">
      <c r="A236" s="66">
        <v>15</v>
      </c>
      <c r="B236" s="70" t="s">
        <v>176</v>
      </c>
      <c r="C236" s="71" t="s">
        <v>85</v>
      </c>
      <c r="D236" s="71" t="s">
        <v>83</v>
      </c>
      <c r="E236" s="72">
        <f>(4.7+4.1+3.9+2.9+4.1+2.9+7.5)*1.1</f>
        <v>33.110000000000007</v>
      </c>
      <c r="F236" s="77"/>
    </row>
    <row r="237" spans="1:7" ht="25.5" x14ac:dyDescent="0.2">
      <c r="A237" s="66">
        <v>16</v>
      </c>
      <c r="B237" s="70" t="s">
        <v>176</v>
      </c>
      <c r="C237" s="71" t="s">
        <v>86</v>
      </c>
      <c r="D237" s="71" t="s">
        <v>83</v>
      </c>
      <c r="E237" s="72">
        <f>(0.4+0.4+0.4+0.4)*1.1</f>
        <v>1.7600000000000002</v>
      </c>
      <c r="F237" s="77"/>
    </row>
    <row r="238" spans="1:7" ht="25.5" x14ac:dyDescent="0.2">
      <c r="A238" s="66">
        <v>17</v>
      </c>
      <c r="B238" s="70" t="s">
        <v>179</v>
      </c>
      <c r="C238" s="71" t="s">
        <v>177</v>
      </c>
      <c r="D238" s="71" t="s">
        <v>83</v>
      </c>
      <c r="E238" s="72">
        <f>(1.2+0.8+0.4+1.6)*1.1</f>
        <v>4.4000000000000004</v>
      </c>
      <c r="F238" s="77"/>
    </row>
    <row r="239" spans="1:7" ht="25.5" x14ac:dyDescent="0.2">
      <c r="A239" s="66">
        <v>18</v>
      </c>
      <c r="B239" s="70" t="s">
        <v>179</v>
      </c>
      <c r="C239" s="71" t="s">
        <v>100</v>
      </c>
      <c r="D239" s="71" t="s">
        <v>83</v>
      </c>
      <c r="E239" s="72">
        <f>(2.4+1.6+1)*1.1</f>
        <v>5.5</v>
      </c>
      <c r="F239" s="77"/>
    </row>
    <row r="240" spans="1:7" ht="25.5" x14ac:dyDescent="0.2">
      <c r="A240" s="66">
        <v>19</v>
      </c>
      <c r="B240" s="70" t="s">
        <v>179</v>
      </c>
      <c r="C240" s="71" t="s">
        <v>90</v>
      </c>
      <c r="D240" s="71" t="s">
        <v>83</v>
      </c>
      <c r="E240" s="72">
        <f>0.5*1.1</f>
        <v>0.55000000000000004</v>
      </c>
      <c r="F240" s="77"/>
    </row>
    <row r="241" spans="1:7" ht="38.25" x14ac:dyDescent="0.2">
      <c r="A241" s="66">
        <v>20</v>
      </c>
      <c r="B241" s="80" t="s">
        <v>197</v>
      </c>
      <c r="C241" s="66" t="s">
        <v>198</v>
      </c>
      <c r="D241" s="66" t="s">
        <v>91</v>
      </c>
      <c r="E241" s="81">
        <f>(4.7+4.1+2.9+4.1)*0.35*3.14*1.1*1.3+1.6*0.415*3.14*1.1*1.3+1.4*(2.4+1)*1.1*1.3+0.4*1.8*1.1*1.3</f>
        <v>35.648698800000012</v>
      </c>
      <c r="F241" s="8" t="s">
        <v>199</v>
      </c>
    </row>
    <row r="242" spans="1:7" ht="25.5" x14ac:dyDescent="0.2">
      <c r="A242" s="66">
        <v>21</v>
      </c>
      <c r="B242" s="70" t="s">
        <v>92</v>
      </c>
      <c r="C242" s="71"/>
      <c r="D242" s="71" t="s">
        <v>78</v>
      </c>
      <c r="E242" s="73">
        <v>1</v>
      </c>
      <c r="F242" s="77"/>
    </row>
    <row r="243" spans="1:7" ht="25.5" x14ac:dyDescent="0.2">
      <c r="A243" s="66">
        <v>22</v>
      </c>
      <c r="B243" s="70" t="s">
        <v>93</v>
      </c>
      <c r="C243" s="71"/>
      <c r="D243" s="71" t="s">
        <v>78</v>
      </c>
      <c r="E243" s="73">
        <v>1</v>
      </c>
      <c r="F243" s="77"/>
    </row>
    <row r="244" spans="1:7" x14ac:dyDescent="0.2">
      <c r="A244" s="66">
        <v>23</v>
      </c>
      <c r="B244" s="70" t="s">
        <v>94</v>
      </c>
      <c r="C244" s="71"/>
      <c r="D244" s="71" t="s">
        <v>78</v>
      </c>
      <c r="E244" s="73">
        <v>1</v>
      </c>
      <c r="F244" s="77"/>
    </row>
    <row r="245" spans="1:7" ht="25.5" x14ac:dyDescent="0.2">
      <c r="A245" s="66">
        <v>24</v>
      </c>
      <c r="B245" s="70" t="s">
        <v>95</v>
      </c>
      <c r="C245" s="71"/>
      <c r="D245" s="71" t="s">
        <v>78</v>
      </c>
      <c r="E245" s="73">
        <v>1</v>
      </c>
      <c r="F245" s="77"/>
    </row>
    <row r="246" spans="1:7" ht="25.5" x14ac:dyDescent="0.2">
      <c r="A246" s="66">
        <v>25</v>
      </c>
      <c r="B246" s="70" t="s">
        <v>96</v>
      </c>
      <c r="C246" s="71"/>
      <c r="D246" s="71" t="s">
        <v>78</v>
      </c>
      <c r="E246" s="73">
        <v>1</v>
      </c>
      <c r="F246" s="77"/>
    </row>
    <row r="247" spans="1:7" x14ac:dyDescent="0.2">
      <c r="A247" s="69"/>
      <c r="B247" s="70"/>
      <c r="C247" s="71"/>
      <c r="D247" s="71"/>
      <c r="E247" s="73"/>
      <c r="F247" s="77"/>
    </row>
    <row r="248" spans="1:7" x14ac:dyDescent="0.2">
      <c r="A248" s="66"/>
      <c r="B248" s="79" t="s">
        <v>64</v>
      </c>
      <c r="C248" s="68"/>
      <c r="D248" s="68"/>
      <c r="E248" s="68"/>
      <c r="F248" s="71"/>
      <c r="G248" s="65"/>
    </row>
    <row r="249" spans="1:7" ht="25.5" x14ac:dyDescent="0.2">
      <c r="A249" s="66">
        <v>1</v>
      </c>
      <c r="B249" s="82" t="s">
        <v>209</v>
      </c>
      <c r="C249" s="68" t="s">
        <v>210</v>
      </c>
      <c r="D249" s="71" t="s">
        <v>78</v>
      </c>
      <c r="E249" s="68">
        <v>2</v>
      </c>
      <c r="F249" s="71" t="s">
        <v>169</v>
      </c>
      <c r="G249" s="65"/>
    </row>
    <row r="250" spans="1:7" x14ac:dyDescent="0.2">
      <c r="A250" s="66">
        <v>2</v>
      </c>
      <c r="B250" s="70" t="s">
        <v>79</v>
      </c>
      <c r="C250" s="68" t="s">
        <v>166</v>
      </c>
      <c r="D250" s="71" t="s">
        <v>80</v>
      </c>
      <c r="E250" s="68">
        <v>2</v>
      </c>
      <c r="F250" s="71" t="s">
        <v>165</v>
      </c>
      <c r="G250" s="65"/>
    </row>
    <row r="251" spans="1:7" x14ac:dyDescent="0.2">
      <c r="A251" s="66">
        <v>3</v>
      </c>
      <c r="B251" s="70" t="s">
        <v>81</v>
      </c>
      <c r="C251" s="68" t="s">
        <v>167</v>
      </c>
      <c r="D251" s="71" t="s">
        <v>80</v>
      </c>
      <c r="E251" s="68">
        <v>3</v>
      </c>
      <c r="F251" s="71" t="s">
        <v>165</v>
      </c>
      <c r="G251" s="65"/>
    </row>
    <row r="252" spans="1:7" ht="38.25" x14ac:dyDescent="0.2">
      <c r="A252" s="66">
        <v>4</v>
      </c>
      <c r="B252" s="70" t="s">
        <v>171</v>
      </c>
      <c r="C252" s="71" t="s">
        <v>173</v>
      </c>
      <c r="D252" s="71" t="s">
        <v>78</v>
      </c>
      <c r="E252" s="71">
        <v>6</v>
      </c>
      <c r="F252" s="64" t="s">
        <v>169</v>
      </c>
      <c r="G252" s="65"/>
    </row>
    <row r="253" spans="1:7" ht="38.25" x14ac:dyDescent="0.2">
      <c r="A253" s="66">
        <v>5</v>
      </c>
      <c r="B253" s="70" t="s">
        <v>168</v>
      </c>
      <c r="C253" s="71" t="s">
        <v>170</v>
      </c>
      <c r="D253" s="71" t="s">
        <v>78</v>
      </c>
      <c r="E253" s="71">
        <v>5</v>
      </c>
      <c r="F253" s="64" t="s">
        <v>169</v>
      </c>
    </row>
    <row r="254" spans="1:7" ht="25.5" x14ac:dyDescent="0.2">
      <c r="A254" s="66">
        <v>6</v>
      </c>
      <c r="B254" s="70" t="s">
        <v>182</v>
      </c>
      <c r="C254" s="71" t="s">
        <v>183</v>
      </c>
      <c r="D254" s="71" t="s">
        <v>78</v>
      </c>
      <c r="E254" s="71">
        <v>1</v>
      </c>
      <c r="F254" s="71" t="s">
        <v>165</v>
      </c>
    </row>
    <row r="255" spans="1:7" x14ac:dyDescent="0.2">
      <c r="A255" s="66">
        <v>7</v>
      </c>
      <c r="B255" s="70" t="s">
        <v>186</v>
      </c>
      <c r="C255" s="71" t="s">
        <v>187</v>
      </c>
      <c r="D255" s="71" t="s">
        <v>78</v>
      </c>
      <c r="E255" s="71">
        <v>4</v>
      </c>
      <c r="F255" s="71" t="s">
        <v>165</v>
      </c>
    </row>
    <row r="256" spans="1:7" x14ac:dyDescent="0.2">
      <c r="A256" s="66">
        <v>8</v>
      </c>
      <c r="B256" s="70" t="s">
        <v>190</v>
      </c>
      <c r="C256" s="71" t="s">
        <v>191</v>
      </c>
      <c r="D256" s="71" t="s">
        <v>80</v>
      </c>
      <c r="E256" s="71">
        <v>2</v>
      </c>
      <c r="F256" s="71" t="s">
        <v>165</v>
      </c>
    </row>
    <row r="257" spans="1:6" x14ac:dyDescent="0.2">
      <c r="A257" s="66">
        <v>9</v>
      </c>
      <c r="B257" s="70" t="s">
        <v>190</v>
      </c>
      <c r="C257" s="71" t="s">
        <v>192</v>
      </c>
      <c r="D257" s="71" t="s">
        <v>80</v>
      </c>
      <c r="E257" s="71">
        <v>1</v>
      </c>
      <c r="F257" s="71" t="s">
        <v>165</v>
      </c>
    </row>
    <row r="258" spans="1:6" x14ac:dyDescent="0.2">
      <c r="A258" s="66">
        <v>10</v>
      </c>
      <c r="B258" s="70" t="s">
        <v>190</v>
      </c>
      <c r="C258" s="71" t="s">
        <v>202</v>
      </c>
      <c r="D258" s="71" t="s">
        <v>80</v>
      </c>
      <c r="E258" s="71">
        <v>4</v>
      </c>
      <c r="F258" s="71" t="s">
        <v>165</v>
      </c>
    </row>
    <row r="259" spans="1:6" x14ac:dyDescent="0.2">
      <c r="A259" s="66">
        <v>11</v>
      </c>
      <c r="B259" s="70" t="s">
        <v>193</v>
      </c>
      <c r="C259" s="71" t="s">
        <v>194</v>
      </c>
      <c r="D259" s="71" t="s">
        <v>80</v>
      </c>
      <c r="E259" s="71">
        <v>3</v>
      </c>
      <c r="F259" s="71" t="s">
        <v>165</v>
      </c>
    </row>
    <row r="260" spans="1:6" ht="25.5" x14ac:dyDescent="0.2">
      <c r="A260" s="66">
        <v>12</v>
      </c>
      <c r="B260" s="70" t="s">
        <v>176</v>
      </c>
      <c r="C260" s="71" t="s">
        <v>99</v>
      </c>
      <c r="D260" s="71" t="s">
        <v>83</v>
      </c>
      <c r="E260" s="72">
        <f>(0.3+3.8+1)*1.1</f>
        <v>5.61</v>
      </c>
      <c r="F260" s="71"/>
    </row>
    <row r="261" spans="1:6" ht="25.5" x14ac:dyDescent="0.2">
      <c r="A261" s="66">
        <v>13</v>
      </c>
      <c r="B261" s="70" t="s">
        <v>176</v>
      </c>
      <c r="C261" s="71" t="s">
        <v>98</v>
      </c>
      <c r="D261" s="71" t="s">
        <v>83</v>
      </c>
      <c r="E261" s="72">
        <f>(1+1.9+8.1+12.2+3.1)*1.1</f>
        <v>28.930000000000003</v>
      </c>
      <c r="F261" s="71"/>
    </row>
    <row r="262" spans="1:6" ht="25.5" x14ac:dyDescent="0.2">
      <c r="A262" s="66">
        <v>14</v>
      </c>
      <c r="B262" s="70" t="s">
        <v>176</v>
      </c>
      <c r="C262" s="71" t="s">
        <v>82</v>
      </c>
      <c r="D262" s="71" t="s">
        <v>83</v>
      </c>
      <c r="E262" s="72">
        <f>(3.2+3.5+4.1+2.8)*1.1</f>
        <v>14.960000000000003</v>
      </c>
      <c r="F262" s="77"/>
    </row>
    <row r="263" spans="1:6" ht="25.5" x14ac:dyDescent="0.2">
      <c r="A263" s="66">
        <v>15</v>
      </c>
      <c r="B263" s="70" t="s">
        <v>176</v>
      </c>
      <c r="C263" s="71" t="s">
        <v>84</v>
      </c>
      <c r="D263" s="71" t="s">
        <v>83</v>
      </c>
      <c r="E263" s="72">
        <f>(4.9+13.6+1.8)*1.1</f>
        <v>22.330000000000002</v>
      </c>
      <c r="F263" s="77"/>
    </row>
    <row r="264" spans="1:6" ht="25.5" x14ac:dyDescent="0.2">
      <c r="A264" s="66">
        <v>16</v>
      </c>
      <c r="B264" s="70" t="s">
        <v>176</v>
      </c>
      <c r="C264" s="71" t="s">
        <v>85</v>
      </c>
      <c r="D264" s="71" t="s">
        <v>83</v>
      </c>
      <c r="E264" s="72">
        <f>(3.9+4.2+4.8+7.5+2.9+4.1+3)*1.1</f>
        <v>33.44</v>
      </c>
      <c r="F264" s="77"/>
    </row>
    <row r="265" spans="1:6" ht="25.5" x14ac:dyDescent="0.2">
      <c r="A265" s="66">
        <v>17</v>
      </c>
      <c r="B265" s="70" t="s">
        <v>176</v>
      </c>
      <c r="C265" s="71" t="s">
        <v>86</v>
      </c>
      <c r="D265" s="71" t="s">
        <v>83</v>
      </c>
      <c r="E265" s="72">
        <f>0.4*4*1.1</f>
        <v>1.7600000000000002</v>
      </c>
      <c r="F265" s="77"/>
    </row>
    <row r="266" spans="1:6" ht="25.5" x14ac:dyDescent="0.2">
      <c r="A266" s="66">
        <v>18</v>
      </c>
      <c r="B266" s="70" t="s">
        <v>179</v>
      </c>
      <c r="C266" s="71" t="s">
        <v>177</v>
      </c>
      <c r="D266" s="71" t="s">
        <v>83</v>
      </c>
      <c r="E266" s="72">
        <f>(1.6+0.8+0.8+0.6)*1.1</f>
        <v>4.1800000000000006</v>
      </c>
      <c r="F266" s="77"/>
    </row>
    <row r="267" spans="1:6" ht="25.5" x14ac:dyDescent="0.2">
      <c r="A267" s="66">
        <v>19</v>
      </c>
      <c r="B267" s="70" t="s">
        <v>179</v>
      </c>
      <c r="C267" s="71" t="s">
        <v>100</v>
      </c>
      <c r="D267" s="71" t="s">
        <v>83</v>
      </c>
      <c r="E267" s="72">
        <f>(2.5+1+1.3)*1.1</f>
        <v>5.28</v>
      </c>
      <c r="F267" s="77"/>
    </row>
    <row r="268" spans="1:6" ht="25.5" x14ac:dyDescent="0.2">
      <c r="A268" s="66">
        <v>20</v>
      </c>
      <c r="B268" s="70" t="s">
        <v>179</v>
      </c>
      <c r="C268" s="71" t="s">
        <v>90</v>
      </c>
      <c r="D268" s="71" t="s">
        <v>83</v>
      </c>
      <c r="E268" s="72">
        <v>0.6</v>
      </c>
      <c r="F268" s="77"/>
    </row>
    <row r="269" spans="1:6" ht="38.25" x14ac:dyDescent="0.2">
      <c r="A269" s="66">
        <v>21</v>
      </c>
      <c r="B269" s="80" t="s">
        <v>197</v>
      </c>
      <c r="C269" s="66" t="s">
        <v>198</v>
      </c>
      <c r="D269" s="66" t="s">
        <v>91</v>
      </c>
      <c r="E269" s="81">
        <f>(4.2+4.8+4.1+3)*0.35*3.14*1.1*1.3+1.6*0.415*3.14*1.1*1.3+3.5*1.4*1.1*1.3+0.4*1.8*1.1*1.3</f>
        <v>36.320369800000002</v>
      </c>
      <c r="F269" s="8" t="s">
        <v>199</v>
      </c>
    </row>
    <row r="270" spans="1:6" ht="25.5" x14ac:dyDescent="0.2">
      <c r="A270" s="66">
        <v>22</v>
      </c>
      <c r="B270" s="70" t="s">
        <v>92</v>
      </c>
      <c r="C270" s="71"/>
      <c r="D270" s="71" t="s">
        <v>78</v>
      </c>
      <c r="E270" s="73">
        <v>1</v>
      </c>
      <c r="F270" s="77"/>
    </row>
    <row r="271" spans="1:6" ht="25.5" x14ac:dyDescent="0.2">
      <c r="A271" s="66">
        <v>23</v>
      </c>
      <c r="B271" s="70" t="s">
        <v>93</v>
      </c>
      <c r="C271" s="71"/>
      <c r="D271" s="71" t="s">
        <v>78</v>
      </c>
      <c r="E271" s="73">
        <v>1</v>
      </c>
      <c r="F271" s="77"/>
    </row>
    <row r="272" spans="1:6" x14ac:dyDescent="0.2">
      <c r="A272" s="66">
        <v>24</v>
      </c>
      <c r="B272" s="70" t="s">
        <v>94</v>
      </c>
      <c r="C272" s="71"/>
      <c r="D272" s="71" t="s">
        <v>78</v>
      </c>
      <c r="E272" s="73">
        <v>1</v>
      </c>
      <c r="F272" s="77"/>
    </row>
    <row r="273" spans="1:7" ht="25.5" x14ac:dyDescent="0.2">
      <c r="A273" s="66">
        <v>25</v>
      </c>
      <c r="B273" s="70" t="s">
        <v>95</v>
      </c>
      <c r="C273" s="71"/>
      <c r="D273" s="71" t="s">
        <v>78</v>
      </c>
      <c r="E273" s="73">
        <v>1</v>
      </c>
      <c r="F273" s="77"/>
    </row>
    <row r="274" spans="1:7" ht="25.5" x14ac:dyDescent="0.2">
      <c r="A274" s="66">
        <v>26</v>
      </c>
      <c r="B274" s="70" t="s">
        <v>96</v>
      </c>
      <c r="C274" s="71"/>
      <c r="D274" s="71" t="s">
        <v>78</v>
      </c>
      <c r="E274" s="73">
        <v>1</v>
      </c>
      <c r="F274" s="77"/>
    </row>
    <row r="275" spans="1:7" x14ac:dyDescent="0.2">
      <c r="A275" s="69"/>
      <c r="B275" s="70"/>
      <c r="C275" s="71"/>
      <c r="D275" s="71"/>
      <c r="E275" s="73"/>
      <c r="F275" s="77"/>
    </row>
    <row r="276" spans="1:7" x14ac:dyDescent="0.2">
      <c r="A276" s="66"/>
      <c r="B276" s="79" t="s">
        <v>65</v>
      </c>
      <c r="C276" s="68"/>
      <c r="D276" s="68"/>
      <c r="E276" s="68"/>
      <c r="F276" s="71"/>
      <c r="G276" s="65"/>
    </row>
    <row r="277" spans="1:7" ht="25.5" x14ac:dyDescent="0.2">
      <c r="A277" s="66">
        <v>1</v>
      </c>
      <c r="B277" s="82" t="s">
        <v>209</v>
      </c>
      <c r="C277" s="68" t="s">
        <v>211</v>
      </c>
      <c r="D277" s="71" t="s">
        <v>78</v>
      </c>
      <c r="E277" s="68">
        <v>1</v>
      </c>
      <c r="F277" s="71" t="s">
        <v>169</v>
      </c>
      <c r="G277" s="65"/>
    </row>
    <row r="278" spans="1:7" x14ac:dyDescent="0.2">
      <c r="A278" s="66">
        <v>2</v>
      </c>
      <c r="B278" s="83" t="s">
        <v>212</v>
      </c>
      <c r="C278" s="68" t="s">
        <v>213</v>
      </c>
      <c r="D278" s="68" t="s">
        <v>80</v>
      </c>
      <c r="E278" s="68">
        <v>1</v>
      </c>
      <c r="F278" s="71" t="s">
        <v>165</v>
      </c>
      <c r="G278" s="65"/>
    </row>
    <row r="279" spans="1:7" x14ac:dyDescent="0.2">
      <c r="A279" s="66">
        <v>3</v>
      </c>
      <c r="B279" s="70" t="s">
        <v>79</v>
      </c>
      <c r="C279" s="68" t="s">
        <v>180</v>
      </c>
      <c r="D279" s="71" t="s">
        <v>80</v>
      </c>
      <c r="E279" s="68">
        <v>1</v>
      </c>
      <c r="F279" s="71" t="s">
        <v>165</v>
      </c>
      <c r="G279" s="65"/>
    </row>
    <row r="280" spans="1:7" x14ac:dyDescent="0.2">
      <c r="A280" s="66">
        <v>4</v>
      </c>
      <c r="B280" s="70" t="s">
        <v>79</v>
      </c>
      <c r="C280" s="68" t="s">
        <v>215</v>
      </c>
      <c r="D280" s="71" t="s">
        <v>80</v>
      </c>
      <c r="E280" s="68">
        <v>1</v>
      </c>
      <c r="F280" s="71" t="s">
        <v>165</v>
      </c>
      <c r="G280" s="65"/>
    </row>
    <row r="281" spans="1:7" ht="38.25" x14ac:dyDescent="0.2">
      <c r="A281" s="66">
        <v>5</v>
      </c>
      <c r="B281" s="70" t="s">
        <v>171</v>
      </c>
      <c r="C281" s="71" t="s">
        <v>173</v>
      </c>
      <c r="D281" s="71" t="s">
        <v>78</v>
      </c>
      <c r="E281" s="71">
        <v>6</v>
      </c>
      <c r="F281" s="64" t="s">
        <v>169</v>
      </c>
      <c r="G281" s="65"/>
    </row>
    <row r="282" spans="1:7" ht="38.25" x14ac:dyDescent="0.2">
      <c r="A282" s="66">
        <v>6</v>
      </c>
      <c r="B282" s="70" t="s">
        <v>168</v>
      </c>
      <c r="C282" s="71" t="s">
        <v>200</v>
      </c>
      <c r="D282" s="71" t="s">
        <v>78</v>
      </c>
      <c r="E282" s="71">
        <v>4</v>
      </c>
      <c r="F282" s="64" t="s">
        <v>169</v>
      </c>
    </row>
    <row r="283" spans="1:7" ht="25.5" x14ac:dyDescent="0.2">
      <c r="A283" s="66">
        <v>7</v>
      </c>
      <c r="B283" s="70" t="s">
        <v>182</v>
      </c>
      <c r="C283" s="71" t="s">
        <v>183</v>
      </c>
      <c r="D283" s="71" t="s">
        <v>78</v>
      </c>
      <c r="E283" s="71">
        <v>1</v>
      </c>
      <c r="F283" s="71" t="s">
        <v>165</v>
      </c>
    </row>
    <row r="284" spans="1:7" ht="25.5" x14ac:dyDescent="0.2">
      <c r="A284" s="66">
        <v>8</v>
      </c>
      <c r="B284" s="70" t="s">
        <v>184</v>
      </c>
      <c r="C284" s="71" t="s">
        <v>185</v>
      </c>
      <c r="D284" s="71" t="s">
        <v>78</v>
      </c>
      <c r="E284" s="71">
        <v>1</v>
      </c>
      <c r="F284" s="71" t="s">
        <v>169</v>
      </c>
    </row>
    <row r="285" spans="1:7" ht="25.5" x14ac:dyDescent="0.2">
      <c r="A285" s="66">
        <v>9</v>
      </c>
      <c r="B285" s="70" t="s">
        <v>184</v>
      </c>
      <c r="C285" s="71" t="s">
        <v>214</v>
      </c>
      <c r="D285" s="71" t="s">
        <v>78</v>
      </c>
      <c r="E285" s="71">
        <v>1</v>
      </c>
      <c r="F285" s="71" t="s">
        <v>169</v>
      </c>
    </row>
    <row r="286" spans="1:7" x14ac:dyDescent="0.2">
      <c r="A286" s="66">
        <v>10</v>
      </c>
      <c r="B286" s="70" t="s">
        <v>186</v>
      </c>
      <c r="C286" s="71" t="s">
        <v>187</v>
      </c>
      <c r="D286" s="71" t="s">
        <v>78</v>
      </c>
      <c r="E286" s="71">
        <v>4</v>
      </c>
      <c r="F286" s="71" t="s">
        <v>165</v>
      </c>
    </row>
    <row r="287" spans="1:7" x14ac:dyDescent="0.2">
      <c r="A287" s="66">
        <v>11</v>
      </c>
      <c r="B287" s="70" t="s">
        <v>190</v>
      </c>
      <c r="C287" s="71" t="s">
        <v>191</v>
      </c>
      <c r="D287" s="71" t="s">
        <v>80</v>
      </c>
      <c r="E287" s="71">
        <v>4</v>
      </c>
      <c r="F287" s="71" t="s">
        <v>165</v>
      </c>
    </row>
    <row r="288" spans="1:7" x14ac:dyDescent="0.2">
      <c r="A288" s="66">
        <v>12</v>
      </c>
      <c r="B288" s="70" t="s">
        <v>190</v>
      </c>
      <c r="C288" s="71" t="s">
        <v>192</v>
      </c>
      <c r="D288" s="71" t="s">
        <v>80</v>
      </c>
      <c r="E288" s="71">
        <v>1</v>
      </c>
      <c r="F288" s="71" t="s">
        <v>165</v>
      </c>
    </row>
    <row r="289" spans="1:6" x14ac:dyDescent="0.2">
      <c r="A289" s="66">
        <v>13</v>
      </c>
      <c r="B289" s="70" t="s">
        <v>190</v>
      </c>
      <c r="C289" s="71" t="s">
        <v>202</v>
      </c>
      <c r="D289" s="71" t="s">
        <v>80</v>
      </c>
      <c r="E289" s="71">
        <v>4</v>
      </c>
      <c r="F289" s="71" t="s">
        <v>165</v>
      </c>
    </row>
    <row r="290" spans="1:6" x14ac:dyDescent="0.2">
      <c r="A290" s="66">
        <v>14</v>
      </c>
      <c r="B290" s="70" t="s">
        <v>193</v>
      </c>
      <c r="C290" s="71" t="s">
        <v>194</v>
      </c>
      <c r="D290" s="71" t="s">
        <v>80</v>
      </c>
      <c r="E290" s="71">
        <v>3</v>
      </c>
      <c r="F290" s="71" t="s">
        <v>165</v>
      </c>
    </row>
    <row r="291" spans="1:6" ht="25.5" x14ac:dyDescent="0.2">
      <c r="A291" s="66">
        <v>15</v>
      </c>
      <c r="B291" s="70" t="s">
        <v>176</v>
      </c>
      <c r="C291" s="71" t="s">
        <v>99</v>
      </c>
      <c r="D291" s="71" t="s">
        <v>83</v>
      </c>
      <c r="E291" s="72">
        <f>(0.9+1+3.9+3.7)*1.1</f>
        <v>10.450000000000001</v>
      </c>
      <c r="F291" s="71"/>
    </row>
    <row r="292" spans="1:6" ht="25.5" x14ac:dyDescent="0.2">
      <c r="A292" s="66">
        <v>16</v>
      </c>
      <c r="B292" s="70" t="s">
        <v>176</v>
      </c>
      <c r="C292" s="71" t="s">
        <v>98</v>
      </c>
      <c r="D292" s="71" t="s">
        <v>83</v>
      </c>
      <c r="E292" s="72">
        <f>(6.9)*1.1</f>
        <v>7.5900000000000007</v>
      </c>
      <c r="F292" s="71"/>
    </row>
    <row r="293" spans="1:6" ht="25.5" x14ac:dyDescent="0.2">
      <c r="A293" s="66">
        <v>17</v>
      </c>
      <c r="B293" s="70" t="s">
        <v>176</v>
      </c>
      <c r="C293" s="71" t="s">
        <v>82</v>
      </c>
      <c r="D293" s="71" t="s">
        <v>83</v>
      </c>
      <c r="E293" s="72">
        <f>(2.1+2.1+2.2+3.5)*1.1</f>
        <v>10.89</v>
      </c>
      <c r="F293" s="77"/>
    </row>
    <row r="294" spans="1:6" ht="25.5" x14ac:dyDescent="0.2">
      <c r="A294" s="66">
        <v>18</v>
      </c>
      <c r="B294" s="70" t="s">
        <v>176</v>
      </c>
      <c r="C294" s="71" t="s">
        <v>84</v>
      </c>
      <c r="D294" s="71" t="s">
        <v>83</v>
      </c>
      <c r="E294" s="72">
        <f>(10.4+4.1+12.9+2.8)*1.1</f>
        <v>33.22</v>
      </c>
      <c r="F294" s="77"/>
    </row>
    <row r="295" spans="1:6" ht="25.5" x14ac:dyDescent="0.2">
      <c r="A295" s="66">
        <v>19</v>
      </c>
      <c r="B295" s="70" t="s">
        <v>176</v>
      </c>
      <c r="C295" s="71" t="s">
        <v>86</v>
      </c>
      <c r="D295" s="71" t="s">
        <v>83</v>
      </c>
      <c r="E295" s="72">
        <f>1.6*1.1</f>
        <v>1.7600000000000002</v>
      </c>
      <c r="F295" s="77"/>
    </row>
    <row r="296" spans="1:6" ht="25.5" x14ac:dyDescent="0.2">
      <c r="A296" s="66">
        <v>20</v>
      </c>
      <c r="B296" s="70" t="s">
        <v>179</v>
      </c>
      <c r="C296" s="71" t="s">
        <v>177</v>
      </c>
      <c r="D296" s="71" t="s">
        <v>83</v>
      </c>
      <c r="E296" s="72">
        <f>1.2*1.1</f>
        <v>1.32</v>
      </c>
      <c r="F296" s="77"/>
    </row>
    <row r="297" spans="1:6" ht="25.5" x14ac:dyDescent="0.2">
      <c r="A297" s="66">
        <v>21</v>
      </c>
      <c r="B297" s="70" t="s">
        <v>179</v>
      </c>
      <c r="C297" s="71" t="s">
        <v>178</v>
      </c>
      <c r="D297" s="71" t="s">
        <v>83</v>
      </c>
      <c r="E297" s="72">
        <f>1.2*1.1</f>
        <v>1.32</v>
      </c>
      <c r="F297" s="77"/>
    </row>
    <row r="298" spans="1:6" ht="25.5" x14ac:dyDescent="0.2">
      <c r="A298" s="66">
        <v>22</v>
      </c>
      <c r="B298" s="70" t="s">
        <v>179</v>
      </c>
      <c r="C298" s="71" t="s">
        <v>89</v>
      </c>
      <c r="D298" s="71" t="s">
        <v>83</v>
      </c>
      <c r="E298" s="72">
        <f>0.8*1.1</f>
        <v>0.88000000000000012</v>
      </c>
      <c r="F298" s="77"/>
    </row>
    <row r="299" spans="1:6" ht="25.5" x14ac:dyDescent="0.2">
      <c r="A299" s="66">
        <v>23</v>
      </c>
      <c r="B299" s="70" t="s">
        <v>179</v>
      </c>
      <c r="C299" s="71" t="s">
        <v>100</v>
      </c>
      <c r="D299" s="71" t="s">
        <v>83</v>
      </c>
      <c r="E299" s="72">
        <f>3.5*1.1</f>
        <v>3.8500000000000005</v>
      </c>
      <c r="F299" s="77"/>
    </row>
    <row r="300" spans="1:6" ht="25.5" x14ac:dyDescent="0.2">
      <c r="A300" s="66">
        <v>24</v>
      </c>
      <c r="B300" s="70" t="s">
        <v>179</v>
      </c>
      <c r="C300" s="71" t="s">
        <v>87</v>
      </c>
      <c r="D300" s="71" t="s">
        <v>83</v>
      </c>
      <c r="E300" s="72">
        <f>(4.2+7+7.5+1.8+0.4)*1.1</f>
        <v>22.990000000000002</v>
      </c>
      <c r="F300" s="77"/>
    </row>
    <row r="301" spans="1:6" ht="25.5" x14ac:dyDescent="0.2">
      <c r="A301" s="66">
        <v>25</v>
      </c>
      <c r="B301" s="70" t="s">
        <v>179</v>
      </c>
      <c r="C301" s="71" t="s">
        <v>97</v>
      </c>
      <c r="D301" s="71" t="s">
        <v>83</v>
      </c>
      <c r="E301" s="72">
        <f>0.4*1.1</f>
        <v>0.44000000000000006</v>
      </c>
      <c r="F301" s="77"/>
    </row>
    <row r="302" spans="1:6" ht="38.25" x14ac:dyDescent="0.2">
      <c r="A302" s="66">
        <v>26</v>
      </c>
      <c r="B302" s="80" t="s">
        <v>197</v>
      </c>
      <c r="C302" s="66" t="s">
        <v>198</v>
      </c>
      <c r="D302" s="66" t="s">
        <v>91</v>
      </c>
      <c r="E302" s="81">
        <f>0.8*0.415*3.14*1.1*1.3+8.8*1.5*1.1*1.3+0.4*2*1.1*1.3</f>
        <v>21.510746400000002</v>
      </c>
      <c r="F302" s="8" t="s">
        <v>199</v>
      </c>
    </row>
    <row r="303" spans="1:6" ht="25.5" x14ac:dyDescent="0.2">
      <c r="A303" s="66">
        <v>27</v>
      </c>
      <c r="B303" s="70" t="s">
        <v>92</v>
      </c>
      <c r="C303" s="71"/>
      <c r="D303" s="71" t="s">
        <v>78</v>
      </c>
      <c r="E303" s="73">
        <v>1</v>
      </c>
      <c r="F303" s="77"/>
    </row>
    <row r="304" spans="1:6" ht="25.5" x14ac:dyDescent="0.2">
      <c r="A304" s="66">
        <v>28</v>
      </c>
      <c r="B304" s="70" t="s">
        <v>93</v>
      </c>
      <c r="C304" s="71"/>
      <c r="D304" s="71" t="s">
        <v>78</v>
      </c>
      <c r="E304" s="73">
        <v>1</v>
      </c>
      <c r="F304" s="77"/>
    </row>
    <row r="305" spans="1:7" x14ac:dyDescent="0.2">
      <c r="A305" s="66">
        <v>29</v>
      </c>
      <c r="B305" s="70" t="s">
        <v>94</v>
      </c>
      <c r="C305" s="71"/>
      <c r="D305" s="71" t="s">
        <v>78</v>
      </c>
      <c r="E305" s="73">
        <v>1</v>
      </c>
      <c r="F305" s="77"/>
    </row>
    <row r="306" spans="1:7" ht="25.5" x14ac:dyDescent="0.2">
      <c r="A306" s="66">
        <v>30</v>
      </c>
      <c r="B306" s="70" t="s">
        <v>95</v>
      </c>
      <c r="C306" s="71"/>
      <c r="D306" s="71" t="s">
        <v>78</v>
      </c>
      <c r="E306" s="73">
        <v>1</v>
      </c>
      <c r="F306" s="77"/>
    </row>
    <row r="307" spans="1:7" ht="25.5" x14ac:dyDescent="0.2">
      <c r="A307" s="66">
        <v>31</v>
      </c>
      <c r="B307" s="70" t="s">
        <v>96</v>
      </c>
      <c r="C307" s="71"/>
      <c r="D307" s="71" t="s">
        <v>78</v>
      </c>
      <c r="E307" s="73">
        <v>1</v>
      </c>
      <c r="F307" s="77"/>
    </row>
    <row r="308" spans="1:7" x14ac:dyDescent="0.2">
      <c r="A308" s="69"/>
      <c r="B308" s="70"/>
      <c r="C308" s="71"/>
      <c r="D308" s="71"/>
      <c r="E308" s="73"/>
      <c r="F308" s="77"/>
    </row>
    <row r="309" spans="1:7" x14ac:dyDescent="0.2">
      <c r="A309" s="66"/>
      <c r="B309" s="79" t="s">
        <v>66</v>
      </c>
      <c r="C309" s="68"/>
      <c r="D309" s="68"/>
      <c r="E309" s="68"/>
      <c r="F309" s="71"/>
      <c r="G309" s="65"/>
    </row>
    <row r="310" spans="1:7" ht="25.5" x14ac:dyDescent="0.2">
      <c r="A310" s="66">
        <v>1</v>
      </c>
      <c r="B310" s="82" t="s">
        <v>209</v>
      </c>
      <c r="C310" s="68" t="s">
        <v>211</v>
      </c>
      <c r="D310" s="71" t="s">
        <v>78</v>
      </c>
      <c r="E310" s="68">
        <v>1</v>
      </c>
      <c r="F310" s="71" t="s">
        <v>169</v>
      </c>
      <c r="G310" s="65"/>
    </row>
    <row r="311" spans="1:7" x14ac:dyDescent="0.2">
      <c r="A311" s="66">
        <v>2</v>
      </c>
      <c r="B311" s="83" t="s">
        <v>212</v>
      </c>
      <c r="C311" s="68" t="s">
        <v>213</v>
      </c>
      <c r="D311" s="68" t="s">
        <v>80</v>
      </c>
      <c r="E311" s="68">
        <v>1</v>
      </c>
      <c r="F311" s="71" t="s">
        <v>165</v>
      </c>
      <c r="G311" s="65"/>
    </row>
    <row r="312" spans="1:7" x14ac:dyDescent="0.2">
      <c r="A312" s="66">
        <v>3</v>
      </c>
      <c r="B312" s="70" t="s">
        <v>79</v>
      </c>
      <c r="C312" s="68" t="s">
        <v>180</v>
      </c>
      <c r="D312" s="71" t="s">
        <v>80</v>
      </c>
      <c r="E312" s="68">
        <v>2</v>
      </c>
      <c r="F312" s="71" t="s">
        <v>165</v>
      </c>
      <c r="G312" s="65"/>
    </row>
    <row r="313" spans="1:7" ht="38.25" x14ac:dyDescent="0.2">
      <c r="A313" s="66">
        <v>4</v>
      </c>
      <c r="B313" s="70" t="s">
        <v>171</v>
      </c>
      <c r="C313" s="71" t="s">
        <v>173</v>
      </c>
      <c r="D313" s="71" t="s">
        <v>78</v>
      </c>
      <c r="E313" s="71">
        <v>6</v>
      </c>
      <c r="F313" s="64" t="s">
        <v>169</v>
      </c>
      <c r="G313" s="65"/>
    </row>
    <row r="314" spans="1:7" ht="38.25" x14ac:dyDescent="0.2">
      <c r="A314" s="66">
        <v>5</v>
      </c>
      <c r="B314" s="70" t="s">
        <v>168</v>
      </c>
      <c r="C314" s="71" t="s">
        <v>200</v>
      </c>
      <c r="D314" s="71" t="s">
        <v>78</v>
      </c>
      <c r="E314" s="71">
        <v>4</v>
      </c>
      <c r="F314" s="64" t="s">
        <v>169</v>
      </c>
    </row>
    <row r="315" spans="1:7" ht="25.5" x14ac:dyDescent="0.2">
      <c r="A315" s="66">
        <v>6</v>
      </c>
      <c r="B315" s="70" t="s">
        <v>182</v>
      </c>
      <c r="C315" s="71" t="s">
        <v>183</v>
      </c>
      <c r="D315" s="71" t="s">
        <v>78</v>
      </c>
      <c r="E315" s="71">
        <v>1</v>
      </c>
      <c r="F315" s="71" t="s">
        <v>165</v>
      </c>
    </row>
    <row r="316" spans="1:7" ht="25.5" x14ac:dyDescent="0.2">
      <c r="A316" s="66">
        <v>7</v>
      </c>
      <c r="B316" s="70" t="s">
        <v>184</v>
      </c>
      <c r="C316" s="71" t="s">
        <v>185</v>
      </c>
      <c r="D316" s="71" t="s">
        <v>78</v>
      </c>
      <c r="E316" s="71">
        <v>1</v>
      </c>
      <c r="F316" s="71" t="s">
        <v>169</v>
      </c>
    </row>
    <row r="317" spans="1:7" ht="25.5" x14ac:dyDescent="0.2">
      <c r="A317" s="66">
        <v>8</v>
      </c>
      <c r="B317" s="70" t="s">
        <v>184</v>
      </c>
      <c r="C317" s="71" t="s">
        <v>214</v>
      </c>
      <c r="D317" s="71" t="s">
        <v>78</v>
      </c>
      <c r="E317" s="71">
        <v>1</v>
      </c>
      <c r="F317" s="71" t="s">
        <v>169</v>
      </c>
    </row>
    <row r="318" spans="1:7" x14ac:dyDescent="0.2">
      <c r="A318" s="66">
        <v>9</v>
      </c>
      <c r="B318" s="70" t="s">
        <v>186</v>
      </c>
      <c r="C318" s="71" t="s">
        <v>187</v>
      </c>
      <c r="D318" s="71" t="s">
        <v>78</v>
      </c>
      <c r="E318" s="71">
        <v>5</v>
      </c>
      <c r="F318" s="71" t="s">
        <v>165</v>
      </c>
    </row>
    <row r="319" spans="1:7" x14ac:dyDescent="0.2">
      <c r="A319" s="66">
        <v>10</v>
      </c>
      <c r="B319" s="70" t="s">
        <v>190</v>
      </c>
      <c r="C319" s="71" t="s">
        <v>191</v>
      </c>
      <c r="D319" s="71" t="s">
        <v>80</v>
      </c>
      <c r="E319" s="71">
        <v>5</v>
      </c>
      <c r="F319" s="71" t="s">
        <v>165</v>
      </c>
    </row>
    <row r="320" spans="1:7" x14ac:dyDescent="0.2">
      <c r="A320" s="66">
        <v>11</v>
      </c>
      <c r="B320" s="70" t="s">
        <v>190</v>
      </c>
      <c r="C320" s="71" t="s">
        <v>192</v>
      </c>
      <c r="D320" s="71" t="s">
        <v>80</v>
      </c>
      <c r="E320" s="71">
        <v>1</v>
      </c>
      <c r="F320" s="71" t="s">
        <v>165</v>
      </c>
    </row>
    <row r="321" spans="1:6" x14ac:dyDescent="0.2">
      <c r="A321" s="66">
        <v>12</v>
      </c>
      <c r="B321" s="70" t="s">
        <v>190</v>
      </c>
      <c r="C321" s="71" t="s">
        <v>202</v>
      </c>
      <c r="D321" s="71" t="s">
        <v>80</v>
      </c>
      <c r="E321" s="71">
        <v>4</v>
      </c>
      <c r="F321" s="71" t="s">
        <v>165</v>
      </c>
    </row>
    <row r="322" spans="1:6" x14ac:dyDescent="0.2">
      <c r="A322" s="66">
        <v>13</v>
      </c>
      <c r="B322" s="70" t="s">
        <v>193</v>
      </c>
      <c r="C322" s="71" t="s">
        <v>194</v>
      </c>
      <c r="D322" s="71" t="s">
        <v>80</v>
      </c>
      <c r="E322" s="71">
        <v>3</v>
      </c>
      <c r="F322" s="71" t="s">
        <v>165</v>
      </c>
    </row>
    <row r="323" spans="1:6" ht="25.5" x14ac:dyDescent="0.2">
      <c r="A323" s="66">
        <v>14</v>
      </c>
      <c r="B323" s="70" t="s">
        <v>176</v>
      </c>
      <c r="C323" s="71" t="s">
        <v>99</v>
      </c>
      <c r="D323" s="71" t="s">
        <v>83</v>
      </c>
      <c r="E323" s="72">
        <f>(0.9+1+3.9+3.7)*1.1</f>
        <v>10.450000000000001</v>
      </c>
      <c r="F323" s="71"/>
    </row>
    <row r="324" spans="1:6" ht="25.5" x14ac:dyDescent="0.2">
      <c r="A324" s="66">
        <v>15</v>
      </c>
      <c r="B324" s="70" t="s">
        <v>176</v>
      </c>
      <c r="C324" s="71" t="s">
        <v>98</v>
      </c>
      <c r="D324" s="71" t="s">
        <v>83</v>
      </c>
      <c r="E324" s="72">
        <f>6.6*1.1</f>
        <v>7.26</v>
      </c>
      <c r="F324" s="71"/>
    </row>
    <row r="325" spans="1:6" ht="25.5" x14ac:dyDescent="0.2">
      <c r="A325" s="66">
        <v>16</v>
      </c>
      <c r="B325" s="70" t="s">
        <v>176</v>
      </c>
      <c r="C325" s="71" t="s">
        <v>82</v>
      </c>
      <c r="D325" s="71" t="s">
        <v>83</v>
      </c>
      <c r="E325" s="72">
        <f>(2.1+2.1+2.2+3.5)*1.1</f>
        <v>10.89</v>
      </c>
      <c r="F325" s="77"/>
    </row>
    <row r="326" spans="1:6" ht="25.5" x14ac:dyDescent="0.2">
      <c r="A326" s="66">
        <v>17</v>
      </c>
      <c r="B326" s="70" t="s">
        <v>176</v>
      </c>
      <c r="C326" s="71" t="s">
        <v>84</v>
      </c>
      <c r="D326" s="71" t="s">
        <v>83</v>
      </c>
      <c r="E326" s="72">
        <f>(4.2+10.3+12.9+2.8)*1.1</f>
        <v>33.22</v>
      </c>
      <c r="F326" s="77"/>
    </row>
    <row r="327" spans="1:6" ht="25.5" x14ac:dyDescent="0.2">
      <c r="A327" s="66">
        <v>18</v>
      </c>
      <c r="B327" s="70" t="s">
        <v>176</v>
      </c>
      <c r="C327" s="71" t="s">
        <v>86</v>
      </c>
      <c r="D327" s="71" t="s">
        <v>83</v>
      </c>
      <c r="E327" s="72">
        <f>(0.4+0.4+2.2+0.4+0.4)*1.1</f>
        <v>4.18</v>
      </c>
      <c r="F327" s="77"/>
    </row>
    <row r="328" spans="1:6" ht="25.5" x14ac:dyDescent="0.2">
      <c r="A328" s="66">
        <v>19</v>
      </c>
      <c r="B328" s="70" t="s">
        <v>179</v>
      </c>
      <c r="C328" s="71" t="s">
        <v>177</v>
      </c>
      <c r="D328" s="71" t="s">
        <v>83</v>
      </c>
      <c r="E328" s="72">
        <f>1.2*1.1</f>
        <v>1.32</v>
      </c>
      <c r="F328" s="77"/>
    </row>
    <row r="329" spans="1:6" ht="25.5" x14ac:dyDescent="0.2">
      <c r="A329" s="66">
        <v>20</v>
      </c>
      <c r="B329" s="70" t="s">
        <v>179</v>
      </c>
      <c r="C329" s="71" t="s">
        <v>178</v>
      </c>
      <c r="D329" s="71" t="s">
        <v>83</v>
      </c>
      <c r="E329" s="72">
        <f>1.2*1.1</f>
        <v>1.32</v>
      </c>
      <c r="F329" s="77"/>
    </row>
    <row r="330" spans="1:6" ht="25.5" x14ac:dyDescent="0.2">
      <c r="A330" s="66">
        <v>21</v>
      </c>
      <c r="B330" s="70" t="s">
        <v>179</v>
      </c>
      <c r="C330" s="71" t="s">
        <v>89</v>
      </c>
      <c r="D330" s="71" t="s">
        <v>83</v>
      </c>
      <c r="E330" s="72">
        <f>1.2*1.1</f>
        <v>1.32</v>
      </c>
      <c r="F330" s="77"/>
    </row>
    <row r="331" spans="1:6" ht="25.5" x14ac:dyDescent="0.2">
      <c r="A331" s="66">
        <v>22</v>
      </c>
      <c r="B331" s="70" t="s">
        <v>179</v>
      </c>
      <c r="C331" s="71" t="s">
        <v>100</v>
      </c>
      <c r="D331" s="71" t="s">
        <v>83</v>
      </c>
      <c r="E331" s="72">
        <f>3.5*1.1</f>
        <v>3.8500000000000005</v>
      </c>
      <c r="F331" s="77"/>
    </row>
    <row r="332" spans="1:6" ht="25.5" x14ac:dyDescent="0.2">
      <c r="A332" s="66">
        <v>23</v>
      </c>
      <c r="B332" s="70" t="s">
        <v>179</v>
      </c>
      <c r="C332" s="71" t="s">
        <v>87</v>
      </c>
      <c r="D332" s="71" t="s">
        <v>83</v>
      </c>
      <c r="E332" s="72">
        <f>(5.3+1.6+11.7+1.8+0.4)*1.1</f>
        <v>22.880000000000003</v>
      </c>
      <c r="F332" s="77"/>
    </row>
    <row r="333" spans="1:6" ht="25.5" x14ac:dyDescent="0.2">
      <c r="A333" s="66">
        <v>24</v>
      </c>
      <c r="B333" s="70" t="s">
        <v>179</v>
      </c>
      <c r="C333" s="71" t="s">
        <v>97</v>
      </c>
      <c r="D333" s="71" t="s">
        <v>83</v>
      </c>
      <c r="E333" s="72">
        <v>0.4</v>
      </c>
      <c r="F333" s="77"/>
    </row>
    <row r="334" spans="1:6" ht="38.25" x14ac:dyDescent="0.2">
      <c r="A334" s="66">
        <v>25</v>
      </c>
      <c r="B334" s="80" t="s">
        <v>197</v>
      </c>
      <c r="C334" s="66" t="s">
        <v>198</v>
      </c>
      <c r="D334" s="66" t="s">
        <v>91</v>
      </c>
      <c r="E334" s="81">
        <f>3*0.415*3.14*1.1*1.3+1.8*1.5*1.1*1.3+0.4*2*1.1*1.3</f>
        <v>10.595299000000001</v>
      </c>
      <c r="F334" s="8" t="s">
        <v>199</v>
      </c>
    </row>
    <row r="335" spans="1:6" ht="25.5" x14ac:dyDescent="0.2">
      <c r="A335" s="66">
        <v>26</v>
      </c>
      <c r="B335" s="70" t="s">
        <v>92</v>
      </c>
      <c r="C335" s="71"/>
      <c r="D335" s="71" t="s">
        <v>78</v>
      </c>
      <c r="E335" s="73">
        <v>1</v>
      </c>
      <c r="F335" s="77"/>
    </row>
    <row r="336" spans="1:6" ht="25.5" x14ac:dyDescent="0.2">
      <c r="A336" s="66">
        <v>27</v>
      </c>
      <c r="B336" s="70" t="s">
        <v>93</v>
      </c>
      <c r="C336" s="71"/>
      <c r="D336" s="71" t="s">
        <v>78</v>
      </c>
      <c r="E336" s="73">
        <v>1</v>
      </c>
      <c r="F336" s="77"/>
    </row>
    <row r="337" spans="1:7" x14ac:dyDescent="0.2">
      <c r="A337" s="66">
        <v>28</v>
      </c>
      <c r="B337" s="70" t="s">
        <v>94</v>
      </c>
      <c r="C337" s="71"/>
      <c r="D337" s="71" t="s">
        <v>78</v>
      </c>
      <c r="E337" s="73">
        <v>1</v>
      </c>
      <c r="F337" s="77"/>
    </row>
    <row r="338" spans="1:7" ht="25.5" x14ac:dyDescent="0.2">
      <c r="A338" s="66">
        <v>29</v>
      </c>
      <c r="B338" s="70" t="s">
        <v>95</v>
      </c>
      <c r="C338" s="71"/>
      <c r="D338" s="71" t="s">
        <v>78</v>
      </c>
      <c r="E338" s="73">
        <v>1</v>
      </c>
      <c r="F338" s="77"/>
    </row>
    <row r="339" spans="1:7" ht="25.5" x14ac:dyDescent="0.2">
      <c r="A339" s="66">
        <v>30</v>
      </c>
      <c r="B339" s="70" t="s">
        <v>96</v>
      </c>
      <c r="C339" s="71"/>
      <c r="D339" s="71" t="s">
        <v>78</v>
      </c>
      <c r="E339" s="73">
        <v>1</v>
      </c>
      <c r="F339" s="77"/>
    </row>
    <row r="340" spans="1:7" x14ac:dyDescent="0.2">
      <c r="A340" s="69"/>
      <c r="B340" s="70"/>
      <c r="C340" s="71"/>
      <c r="D340" s="71"/>
      <c r="E340" s="73"/>
      <c r="F340" s="77"/>
    </row>
    <row r="341" spans="1:7" x14ac:dyDescent="0.2">
      <c r="A341" s="66"/>
      <c r="B341" s="79" t="s">
        <v>67</v>
      </c>
      <c r="C341" s="68"/>
      <c r="D341" s="68"/>
      <c r="E341" s="68"/>
      <c r="F341" s="71"/>
      <c r="G341" s="65"/>
    </row>
    <row r="342" spans="1:7" x14ac:dyDescent="0.2">
      <c r="A342" s="66">
        <v>1</v>
      </c>
      <c r="B342" s="70" t="s">
        <v>217</v>
      </c>
      <c r="C342" s="61" t="s">
        <v>216</v>
      </c>
      <c r="D342" s="71" t="s">
        <v>80</v>
      </c>
      <c r="E342" s="68">
        <v>2</v>
      </c>
      <c r="F342" s="71" t="s">
        <v>165</v>
      </c>
      <c r="G342" s="65"/>
    </row>
    <row r="343" spans="1:7" x14ac:dyDescent="0.2">
      <c r="A343" s="66">
        <v>2</v>
      </c>
      <c r="B343" s="70" t="s">
        <v>81</v>
      </c>
      <c r="C343" s="68" t="s">
        <v>207</v>
      </c>
      <c r="D343" s="71" t="s">
        <v>80</v>
      </c>
      <c r="E343" s="68">
        <v>2</v>
      </c>
      <c r="F343" s="71" t="s">
        <v>165</v>
      </c>
      <c r="G343" s="65"/>
    </row>
    <row r="344" spans="1:7" ht="38.25" x14ac:dyDescent="0.2">
      <c r="A344" s="66">
        <v>3</v>
      </c>
      <c r="B344" s="70" t="s">
        <v>171</v>
      </c>
      <c r="C344" s="71" t="s">
        <v>218</v>
      </c>
      <c r="D344" s="71" t="s">
        <v>78</v>
      </c>
      <c r="E344" s="71">
        <v>3</v>
      </c>
      <c r="F344" s="64" t="s">
        <v>169</v>
      </c>
      <c r="G344" s="65"/>
    </row>
    <row r="345" spans="1:7" ht="38.25" x14ac:dyDescent="0.2">
      <c r="A345" s="66">
        <v>4</v>
      </c>
      <c r="B345" s="70" t="s">
        <v>168</v>
      </c>
      <c r="C345" s="71" t="s">
        <v>219</v>
      </c>
      <c r="D345" s="71" t="s">
        <v>78</v>
      </c>
      <c r="E345" s="71">
        <v>3</v>
      </c>
      <c r="F345" s="64" t="s">
        <v>169</v>
      </c>
    </row>
    <row r="346" spans="1:7" x14ac:dyDescent="0.2">
      <c r="A346" s="66">
        <v>5</v>
      </c>
      <c r="B346" s="70" t="s">
        <v>174</v>
      </c>
      <c r="C346" s="71" t="s">
        <v>189</v>
      </c>
      <c r="D346" s="71" t="s">
        <v>80</v>
      </c>
      <c r="E346" s="64">
        <v>2</v>
      </c>
      <c r="F346" s="71" t="s">
        <v>165</v>
      </c>
    </row>
    <row r="347" spans="1:7" ht="25.5" x14ac:dyDescent="0.2">
      <c r="A347" s="66">
        <v>6</v>
      </c>
      <c r="B347" s="70" t="s">
        <v>176</v>
      </c>
      <c r="C347" s="71" t="s">
        <v>86</v>
      </c>
      <c r="D347" s="71" t="s">
        <v>83</v>
      </c>
      <c r="E347" s="72">
        <f>(2.6+3+0.6+2.7+3.4)*1.1</f>
        <v>13.53</v>
      </c>
      <c r="F347" s="77"/>
    </row>
    <row r="348" spans="1:7" ht="25.5" x14ac:dyDescent="0.2">
      <c r="A348" s="66">
        <v>7</v>
      </c>
      <c r="B348" s="70" t="s">
        <v>179</v>
      </c>
      <c r="C348" s="71" t="s">
        <v>103</v>
      </c>
      <c r="D348" s="71" t="s">
        <v>83</v>
      </c>
      <c r="E348" s="72">
        <f>(1.8+1.8)*1.1</f>
        <v>3.9600000000000004</v>
      </c>
      <c r="F348" s="77"/>
    </row>
    <row r="349" spans="1:7" ht="25.5" x14ac:dyDescent="0.2">
      <c r="A349" s="66">
        <v>8</v>
      </c>
      <c r="B349" s="70" t="s">
        <v>179</v>
      </c>
      <c r="C349" s="71" t="s">
        <v>234</v>
      </c>
      <c r="D349" s="71" t="s">
        <v>83</v>
      </c>
      <c r="E349" s="72">
        <f>(1.8+1.8)*1.1</f>
        <v>3.9600000000000004</v>
      </c>
      <c r="F349" s="77"/>
    </row>
    <row r="350" spans="1:7" ht="25.5" x14ac:dyDescent="0.2">
      <c r="A350" s="66">
        <v>9</v>
      </c>
      <c r="B350" s="70" t="s">
        <v>179</v>
      </c>
      <c r="C350" s="71" t="s">
        <v>237</v>
      </c>
      <c r="D350" s="71" t="s">
        <v>83</v>
      </c>
      <c r="E350" s="72">
        <f>(1.2+1.2)*1.1</f>
        <v>2.64</v>
      </c>
      <c r="F350" s="77"/>
    </row>
    <row r="351" spans="1:7" ht="25.5" x14ac:dyDescent="0.2">
      <c r="A351" s="66">
        <v>10</v>
      </c>
      <c r="B351" s="70" t="s">
        <v>179</v>
      </c>
      <c r="C351" s="71" t="s">
        <v>100</v>
      </c>
      <c r="D351" s="71" t="s">
        <v>83</v>
      </c>
      <c r="E351" s="72">
        <f>(5.1+2.5+5.2+4.5)*1.1</f>
        <v>19.03</v>
      </c>
      <c r="F351" s="77"/>
    </row>
    <row r="352" spans="1:7" ht="25.5" x14ac:dyDescent="0.2">
      <c r="A352" s="66">
        <v>11</v>
      </c>
      <c r="B352" s="70" t="s">
        <v>179</v>
      </c>
      <c r="C352" s="71" t="s">
        <v>87</v>
      </c>
      <c r="D352" s="71" t="s">
        <v>83</v>
      </c>
      <c r="E352" s="72">
        <f>2.7*1.1</f>
        <v>2.9700000000000006</v>
      </c>
      <c r="F352" s="77"/>
    </row>
    <row r="353" spans="1:7" ht="38.25" x14ac:dyDescent="0.2">
      <c r="A353" s="66">
        <v>12</v>
      </c>
      <c r="B353" s="80" t="s">
        <v>197</v>
      </c>
      <c r="C353" s="66" t="s">
        <v>198</v>
      </c>
      <c r="D353" s="66" t="s">
        <v>91</v>
      </c>
      <c r="E353" s="81">
        <f>E347*0.415*3.14*1.3+(2.5+4.5)*1.4*1.1*1.3+2.7*1.5*1.1*1.3</f>
        <v>42.7257259</v>
      </c>
      <c r="F353" s="8" t="s">
        <v>199</v>
      </c>
    </row>
    <row r="354" spans="1:7" ht="25.5" x14ac:dyDescent="0.2">
      <c r="A354" s="66">
        <v>13</v>
      </c>
      <c r="B354" s="70" t="s">
        <v>92</v>
      </c>
      <c r="C354" s="71"/>
      <c r="D354" s="71" t="s">
        <v>78</v>
      </c>
      <c r="E354" s="73">
        <v>1</v>
      </c>
      <c r="F354" s="77"/>
    </row>
    <row r="355" spans="1:7" ht="25.5" x14ac:dyDescent="0.2">
      <c r="A355" s="66">
        <v>14</v>
      </c>
      <c r="B355" s="70" t="s">
        <v>93</v>
      </c>
      <c r="C355" s="71"/>
      <c r="D355" s="71" t="s">
        <v>78</v>
      </c>
      <c r="E355" s="73">
        <v>1</v>
      </c>
      <c r="F355" s="77"/>
    </row>
    <row r="356" spans="1:7" x14ac:dyDescent="0.2">
      <c r="A356" s="66">
        <v>15</v>
      </c>
      <c r="B356" s="70" t="s">
        <v>94</v>
      </c>
      <c r="C356" s="71"/>
      <c r="D356" s="71" t="s">
        <v>78</v>
      </c>
      <c r="E356" s="73">
        <v>1</v>
      </c>
      <c r="F356" s="77"/>
    </row>
    <row r="357" spans="1:7" ht="25.5" x14ac:dyDescent="0.2">
      <c r="A357" s="66">
        <v>16</v>
      </c>
      <c r="B357" s="70" t="s">
        <v>95</v>
      </c>
      <c r="C357" s="71"/>
      <c r="D357" s="71" t="s">
        <v>78</v>
      </c>
      <c r="E357" s="73">
        <v>1</v>
      </c>
      <c r="F357" s="77"/>
    </row>
    <row r="358" spans="1:7" ht="25.5" x14ac:dyDescent="0.2">
      <c r="A358" s="66">
        <v>17</v>
      </c>
      <c r="B358" s="70" t="s">
        <v>96</v>
      </c>
      <c r="C358" s="71"/>
      <c r="D358" s="71" t="s">
        <v>78</v>
      </c>
      <c r="E358" s="73">
        <v>1</v>
      </c>
      <c r="F358" s="77"/>
    </row>
    <row r="359" spans="1:7" x14ac:dyDescent="0.2">
      <c r="A359" s="69"/>
      <c r="B359" s="70"/>
      <c r="C359" s="71"/>
      <c r="D359" s="71"/>
      <c r="E359" s="73"/>
      <c r="F359" s="77"/>
    </row>
    <row r="360" spans="1:7" x14ac:dyDescent="0.2">
      <c r="A360" s="66"/>
      <c r="B360" s="79" t="s">
        <v>68</v>
      </c>
      <c r="C360" s="68"/>
      <c r="D360" s="68"/>
      <c r="E360" s="68"/>
      <c r="F360" s="71"/>
      <c r="G360" s="65"/>
    </row>
    <row r="361" spans="1:7" x14ac:dyDescent="0.2">
      <c r="A361" s="66">
        <v>1</v>
      </c>
      <c r="B361" s="70" t="s">
        <v>217</v>
      </c>
      <c r="C361" s="61" t="s">
        <v>166</v>
      </c>
      <c r="D361" s="71" t="s">
        <v>80</v>
      </c>
      <c r="E361" s="68">
        <v>2</v>
      </c>
      <c r="F361" s="71" t="s">
        <v>165</v>
      </c>
      <c r="G361" s="65"/>
    </row>
    <row r="362" spans="1:7" x14ac:dyDescent="0.2">
      <c r="A362" s="66">
        <v>2</v>
      </c>
      <c r="B362" s="70" t="s">
        <v>79</v>
      </c>
      <c r="C362" s="68" t="s">
        <v>180</v>
      </c>
      <c r="D362" s="71" t="s">
        <v>80</v>
      </c>
      <c r="E362" s="68">
        <v>1</v>
      </c>
      <c r="F362" s="71" t="s">
        <v>165</v>
      </c>
      <c r="G362" s="65"/>
    </row>
    <row r="363" spans="1:7" x14ac:dyDescent="0.2">
      <c r="A363" s="66">
        <v>3</v>
      </c>
      <c r="B363" s="70" t="s">
        <v>81</v>
      </c>
      <c r="C363" s="68" t="s">
        <v>220</v>
      </c>
      <c r="D363" s="71" t="s">
        <v>80</v>
      </c>
      <c r="E363" s="68">
        <v>2</v>
      </c>
      <c r="F363" s="71" t="s">
        <v>165</v>
      </c>
      <c r="G363" s="65"/>
    </row>
    <row r="364" spans="1:7" x14ac:dyDescent="0.2">
      <c r="A364" s="66">
        <v>4</v>
      </c>
      <c r="B364" s="70" t="s">
        <v>81</v>
      </c>
      <c r="C364" s="68" t="s">
        <v>181</v>
      </c>
      <c r="D364" s="71" t="s">
        <v>80</v>
      </c>
      <c r="E364" s="68">
        <v>1</v>
      </c>
      <c r="F364" s="71" t="s">
        <v>165</v>
      </c>
      <c r="G364" s="65"/>
    </row>
    <row r="365" spans="1:7" ht="38.25" x14ac:dyDescent="0.2">
      <c r="A365" s="66">
        <v>5</v>
      </c>
      <c r="B365" s="70" t="s">
        <v>171</v>
      </c>
      <c r="C365" s="71" t="s">
        <v>173</v>
      </c>
      <c r="D365" s="71" t="s">
        <v>78</v>
      </c>
      <c r="E365" s="71">
        <v>7</v>
      </c>
      <c r="F365" s="64" t="s">
        <v>169</v>
      </c>
      <c r="G365" s="65"/>
    </row>
    <row r="366" spans="1:7" ht="38.25" x14ac:dyDescent="0.2">
      <c r="A366" s="66">
        <v>6</v>
      </c>
      <c r="B366" s="70" t="s">
        <v>168</v>
      </c>
      <c r="C366" s="71" t="s">
        <v>170</v>
      </c>
      <c r="D366" s="71" t="s">
        <v>78</v>
      </c>
      <c r="E366" s="71">
        <v>6</v>
      </c>
      <c r="F366" s="64" t="s">
        <v>169</v>
      </c>
    </row>
    <row r="367" spans="1:7" ht="25.5" x14ac:dyDescent="0.2">
      <c r="A367" s="66">
        <v>7</v>
      </c>
      <c r="B367" s="70" t="s">
        <v>184</v>
      </c>
      <c r="C367" s="71" t="s">
        <v>185</v>
      </c>
      <c r="D367" s="71" t="s">
        <v>78</v>
      </c>
      <c r="E367" s="71">
        <v>3</v>
      </c>
      <c r="F367" s="71" t="s">
        <v>169</v>
      </c>
    </row>
    <row r="368" spans="1:7" x14ac:dyDescent="0.2">
      <c r="A368" s="66">
        <v>8</v>
      </c>
      <c r="B368" s="70" t="s">
        <v>186</v>
      </c>
      <c r="C368" s="71" t="s">
        <v>187</v>
      </c>
      <c r="D368" s="71" t="s">
        <v>78</v>
      </c>
      <c r="E368" s="71">
        <v>1</v>
      </c>
      <c r="F368" s="71" t="s">
        <v>165</v>
      </c>
    </row>
    <row r="369" spans="1:6" x14ac:dyDescent="0.2">
      <c r="A369" s="66">
        <v>9</v>
      </c>
      <c r="B369" s="70" t="s">
        <v>190</v>
      </c>
      <c r="C369" s="71" t="s">
        <v>191</v>
      </c>
      <c r="D369" s="71" t="s">
        <v>80</v>
      </c>
      <c r="E369" s="71">
        <v>4</v>
      </c>
      <c r="F369" s="71" t="s">
        <v>165</v>
      </c>
    </row>
    <row r="370" spans="1:6" x14ac:dyDescent="0.2">
      <c r="A370" s="66">
        <v>10</v>
      </c>
      <c r="B370" s="70" t="s">
        <v>174</v>
      </c>
      <c r="C370" s="71" t="s">
        <v>189</v>
      </c>
      <c r="D370" s="71" t="s">
        <v>80</v>
      </c>
      <c r="E370" s="64">
        <v>2</v>
      </c>
      <c r="F370" s="71" t="s">
        <v>165</v>
      </c>
    </row>
    <row r="371" spans="1:6" ht="25.5" x14ac:dyDescent="0.2">
      <c r="A371" s="66">
        <v>11</v>
      </c>
      <c r="B371" s="70" t="s">
        <v>176</v>
      </c>
      <c r="C371" s="71" t="s">
        <v>99</v>
      </c>
      <c r="D371" s="71" t="s">
        <v>83</v>
      </c>
      <c r="E371" s="64">
        <f>(2.3+0.8+0.8+1.1)*1.1</f>
        <v>5.5</v>
      </c>
      <c r="F371" s="71"/>
    </row>
    <row r="372" spans="1:6" ht="25.5" x14ac:dyDescent="0.2">
      <c r="A372" s="66">
        <v>12</v>
      </c>
      <c r="B372" s="70" t="s">
        <v>176</v>
      </c>
      <c r="C372" s="71" t="s">
        <v>98</v>
      </c>
      <c r="D372" s="71" t="s">
        <v>83</v>
      </c>
      <c r="E372" s="72">
        <f>(3+3.1)*1.1</f>
        <v>6.71</v>
      </c>
      <c r="F372" s="71"/>
    </row>
    <row r="373" spans="1:6" ht="25.5" x14ac:dyDescent="0.2">
      <c r="A373" s="66">
        <v>13</v>
      </c>
      <c r="B373" s="70" t="s">
        <v>176</v>
      </c>
      <c r="C373" s="71" t="s">
        <v>82</v>
      </c>
      <c r="D373" s="71" t="s">
        <v>83</v>
      </c>
      <c r="E373" s="72">
        <f>(2.9+3.3)*1.1</f>
        <v>6.8199999999999994</v>
      </c>
      <c r="F373" s="77"/>
    </row>
    <row r="374" spans="1:6" ht="25.5" x14ac:dyDescent="0.2">
      <c r="A374" s="66">
        <v>14</v>
      </c>
      <c r="B374" s="70" t="s">
        <v>176</v>
      </c>
      <c r="C374" s="71" t="s">
        <v>84</v>
      </c>
      <c r="D374" s="71" t="s">
        <v>83</v>
      </c>
      <c r="E374" s="72">
        <f>(7.1+3)*1.1</f>
        <v>11.110000000000001</v>
      </c>
      <c r="F374" s="77"/>
    </row>
    <row r="375" spans="1:6" ht="25.5" x14ac:dyDescent="0.2">
      <c r="A375" s="66">
        <v>15</v>
      </c>
      <c r="B375" s="70" t="s">
        <v>176</v>
      </c>
      <c r="C375" s="71" t="s">
        <v>85</v>
      </c>
      <c r="D375" s="71" t="s">
        <v>83</v>
      </c>
      <c r="E375" s="72">
        <f>(8.3+2.3)*1.1</f>
        <v>11.660000000000002</v>
      </c>
      <c r="F375" s="77"/>
    </row>
    <row r="376" spans="1:6" ht="25.5" x14ac:dyDescent="0.2">
      <c r="A376" s="66">
        <v>16</v>
      </c>
      <c r="B376" s="70" t="s">
        <v>176</v>
      </c>
      <c r="C376" s="71" t="s">
        <v>86</v>
      </c>
      <c r="D376" s="71" t="s">
        <v>83</v>
      </c>
      <c r="E376" s="72">
        <f>(0.6+2.9+6.2)*1.1</f>
        <v>10.67</v>
      </c>
      <c r="F376" s="77"/>
    </row>
    <row r="377" spans="1:6" ht="25.5" x14ac:dyDescent="0.2">
      <c r="A377" s="66">
        <v>17</v>
      </c>
      <c r="B377" s="70" t="s">
        <v>179</v>
      </c>
      <c r="C377" s="71" t="s">
        <v>177</v>
      </c>
      <c r="D377" s="71" t="s">
        <v>83</v>
      </c>
      <c r="E377" s="72">
        <f>(1.4+2.8+0.8)*1.1</f>
        <v>5.4999999999999991</v>
      </c>
      <c r="F377" s="77"/>
    </row>
    <row r="378" spans="1:6" ht="25.5" x14ac:dyDescent="0.2">
      <c r="A378" s="66">
        <v>18</v>
      </c>
      <c r="B378" s="70" t="s">
        <v>179</v>
      </c>
      <c r="C378" s="71" t="s">
        <v>236</v>
      </c>
      <c r="D378" s="71" t="s">
        <v>83</v>
      </c>
      <c r="E378" s="72">
        <f>2.8*1.1</f>
        <v>3.08</v>
      </c>
      <c r="F378" s="77"/>
    </row>
    <row r="379" spans="1:6" ht="25.5" x14ac:dyDescent="0.2">
      <c r="A379" s="66">
        <v>19</v>
      </c>
      <c r="B379" s="70" t="s">
        <v>179</v>
      </c>
      <c r="C379" s="71" t="s">
        <v>235</v>
      </c>
      <c r="D379" s="71" t="s">
        <v>83</v>
      </c>
      <c r="E379" s="72">
        <f>(6.5+7.6)*1.1</f>
        <v>15.510000000000002</v>
      </c>
      <c r="F379" s="77"/>
    </row>
    <row r="380" spans="1:6" ht="25.5" x14ac:dyDescent="0.2">
      <c r="A380" s="66">
        <v>20</v>
      </c>
      <c r="B380" s="70" t="s">
        <v>179</v>
      </c>
      <c r="C380" s="71" t="s">
        <v>234</v>
      </c>
      <c r="D380" s="71" t="s">
        <v>83</v>
      </c>
      <c r="E380" s="72">
        <f>(1.2+0.5+1.2+1.2)*1.1</f>
        <v>4.51</v>
      </c>
      <c r="F380" s="77"/>
    </row>
    <row r="381" spans="1:6" ht="25.5" x14ac:dyDescent="0.2">
      <c r="A381" s="66">
        <v>21</v>
      </c>
      <c r="B381" s="70" t="s">
        <v>179</v>
      </c>
      <c r="C381" s="71" t="s">
        <v>87</v>
      </c>
      <c r="D381" s="71" t="s">
        <v>83</v>
      </c>
      <c r="E381" s="72">
        <f>4.5*1.1</f>
        <v>4.95</v>
      </c>
      <c r="F381" s="77"/>
    </row>
    <row r="382" spans="1:6" ht="25.5" x14ac:dyDescent="0.2">
      <c r="A382" s="66">
        <v>22</v>
      </c>
      <c r="B382" s="70" t="s">
        <v>179</v>
      </c>
      <c r="C382" s="71" t="s">
        <v>232</v>
      </c>
      <c r="D382" s="71" t="s">
        <v>83</v>
      </c>
      <c r="E382" s="72">
        <f>(3.5+1.2)*1.1</f>
        <v>5.1700000000000008</v>
      </c>
      <c r="F382" s="77"/>
    </row>
    <row r="383" spans="1:6" ht="38.25" x14ac:dyDescent="0.2">
      <c r="A383" s="66">
        <v>23</v>
      </c>
      <c r="B383" s="80" t="s">
        <v>197</v>
      </c>
      <c r="C383" s="66" t="s">
        <v>198</v>
      </c>
      <c r="D383" s="66" t="s">
        <v>91</v>
      </c>
      <c r="E383" s="81">
        <f>(8.3+2.3)*0.35*3.14*1.1*1.3+(0.6+2.9+6.2)*0.415*3.14*1.1*1.3+1.7*1.2*1.1*1.3+3.5*1.6*1.1*1.3</f>
        <v>45.659142100000011</v>
      </c>
      <c r="F383" s="8" t="s">
        <v>199</v>
      </c>
    </row>
    <row r="384" spans="1:6" ht="25.5" x14ac:dyDescent="0.2">
      <c r="A384" s="66">
        <v>24</v>
      </c>
      <c r="B384" s="70" t="s">
        <v>92</v>
      </c>
      <c r="C384" s="71"/>
      <c r="D384" s="71" t="s">
        <v>78</v>
      </c>
      <c r="E384" s="73">
        <v>1</v>
      </c>
      <c r="F384" s="77"/>
    </row>
    <row r="385" spans="1:7" ht="25.5" x14ac:dyDescent="0.2">
      <c r="A385" s="66">
        <v>25</v>
      </c>
      <c r="B385" s="70" t="s">
        <v>93</v>
      </c>
      <c r="C385" s="71"/>
      <c r="D385" s="71" t="s">
        <v>78</v>
      </c>
      <c r="E385" s="73">
        <v>1</v>
      </c>
      <c r="F385" s="77"/>
    </row>
    <row r="386" spans="1:7" x14ac:dyDescent="0.2">
      <c r="A386" s="66">
        <v>26</v>
      </c>
      <c r="B386" s="70" t="s">
        <v>94</v>
      </c>
      <c r="C386" s="71"/>
      <c r="D386" s="71" t="s">
        <v>78</v>
      </c>
      <c r="E386" s="73">
        <v>1</v>
      </c>
      <c r="F386" s="77"/>
    </row>
    <row r="387" spans="1:7" ht="25.5" x14ac:dyDescent="0.2">
      <c r="A387" s="66">
        <v>27</v>
      </c>
      <c r="B387" s="70" t="s">
        <v>95</v>
      </c>
      <c r="C387" s="71"/>
      <c r="D387" s="71" t="s">
        <v>78</v>
      </c>
      <c r="E387" s="73">
        <v>1</v>
      </c>
      <c r="F387" s="77"/>
    </row>
    <row r="388" spans="1:7" ht="25.5" x14ac:dyDescent="0.2">
      <c r="A388" s="66">
        <v>28</v>
      </c>
      <c r="B388" s="70" t="s">
        <v>96</v>
      </c>
      <c r="C388" s="71"/>
      <c r="D388" s="71" t="s">
        <v>78</v>
      </c>
      <c r="E388" s="73">
        <v>1</v>
      </c>
      <c r="F388" s="77"/>
    </row>
    <row r="389" spans="1:7" x14ac:dyDescent="0.2">
      <c r="A389" s="69"/>
      <c r="B389" s="70"/>
      <c r="C389" s="71"/>
      <c r="D389" s="71"/>
      <c r="E389" s="73"/>
      <c r="F389" s="77"/>
    </row>
    <row r="390" spans="1:7" x14ac:dyDescent="0.2">
      <c r="A390" s="66"/>
      <c r="B390" s="79" t="s">
        <v>72</v>
      </c>
      <c r="C390" s="68"/>
      <c r="D390" s="68"/>
      <c r="E390" s="68"/>
      <c r="F390" s="71"/>
      <c r="G390" s="65"/>
    </row>
    <row r="391" spans="1:7" x14ac:dyDescent="0.2">
      <c r="A391" s="66">
        <v>1</v>
      </c>
      <c r="B391" s="83" t="s">
        <v>212</v>
      </c>
      <c r="C391" s="68" t="s">
        <v>224</v>
      </c>
      <c r="D391" s="68" t="s">
        <v>80</v>
      </c>
      <c r="E391" s="68">
        <v>1</v>
      </c>
      <c r="F391" s="71" t="s">
        <v>165</v>
      </c>
      <c r="G391" s="65"/>
    </row>
    <row r="392" spans="1:7" x14ac:dyDescent="0.2">
      <c r="A392" s="66">
        <v>2</v>
      </c>
      <c r="B392" s="70" t="s">
        <v>79</v>
      </c>
      <c r="C392" s="68" t="s">
        <v>225</v>
      </c>
      <c r="D392" s="71" t="s">
        <v>80</v>
      </c>
      <c r="E392" s="68">
        <v>1</v>
      </c>
      <c r="F392" s="71" t="s">
        <v>165</v>
      </c>
      <c r="G392" s="65"/>
    </row>
    <row r="393" spans="1:7" x14ac:dyDescent="0.2">
      <c r="A393" s="66">
        <v>3</v>
      </c>
      <c r="B393" s="70" t="s">
        <v>81</v>
      </c>
      <c r="C393" s="68" t="s">
        <v>222</v>
      </c>
      <c r="D393" s="71" t="s">
        <v>80</v>
      </c>
      <c r="E393" s="68">
        <v>1</v>
      </c>
      <c r="F393" s="71" t="s">
        <v>165</v>
      </c>
      <c r="G393" s="65"/>
    </row>
    <row r="394" spans="1:7" x14ac:dyDescent="0.2">
      <c r="A394" s="66">
        <v>4</v>
      </c>
      <c r="B394" s="70" t="s">
        <v>81</v>
      </c>
      <c r="C394" s="68" t="s">
        <v>223</v>
      </c>
      <c r="D394" s="71" t="s">
        <v>80</v>
      </c>
      <c r="E394" s="68">
        <v>2</v>
      </c>
      <c r="F394" s="71" t="s">
        <v>165</v>
      </c>
      <c r="G394" s="65"/>
    </row>
    <row r="395" spans="1:7" x14ac:dyDescent="0.2">
      <c r="A395" s="66">
        <v>5</v>
      </c>
      <c r="B395" s="70" t="s">
        <v>190</v>
      </c>
      <c r="C395" s="71" t="s">
        <v>191</v>
      </c>
      <c r="D395" s="71" t="s">
        <v>80</v>
      </c>
      <c r="E395" s="71">
        <v>2</v>
      </c>
      <c r="F395" s="71" t="s">
        <v>165</v>
      </c>
    </row>
    <row r="396" spans="1:7" x14ac:dyDescent="0.2">
      <c r="A396" s="66">
        <v>6</v>
      </c>
      <c r="B396" s="70" t="s">
        <v>190</v>
      </c>
      <c r="C396" s="71" t="s">
        <v>192</v>
      </c>
      <c r="D396" s="71" t="s">
        <v>80</v>
      </c>
      <c r="E396" s="71">
        <v>1</v>
      </c>
      <c r="F396" s="71" t="s">
        <v>165</v>
      </c>
    </row>
    <row r="397" spans="1:7" x14ac:dyDescent="0.2">
      <c r="A397" s="66">
        <v>7</v>
      </c>
      <c r="B397" s="70" t="s">
        <v>193</v>
      </c>
      <c r="C397" s="71" t="s">
        <v>194</v>
      </c>
      <c r="D397" s="71" t="s">
        <v>80</v>
      </c>
      <c r="E397" s="71">
        <v>7</v>
      </c>
      <c r="F397" s="71" t="s">
        <v>165</v>
      </c>
    </row>
    <row r="398" spans="1:7" x14ac:dyDescent="0.2">
      <c r="A398" s="66">
        <v>8</v>
      </c>
      <c r="B398" s="70" t="s">
        <v>186</v>
      </c>
      <c r="C398" s="71" t="s">
        <v>187</v>
      </c>
      <c r="D398" s="71" t="s">
        <v>78</v>
      </c>
      <c r="E398" s="71">
        <v>7</v>
      </c>
      <c r="F398" s="71" t="s">
        <v>165</v>
      </c>
    </row>
    <row r="399" spans="1:7" x14ac:dyDescent="0.2">
      <c r="A399" s="66">
        <v>9</v>
      </c>
      <c r="B399" s="70" t="s">
        <v>174</v>
      </c>
      <c r="C399" s="71" t="s">
        <v>226</v>
      </c>
      <c r="D399" s="71" t="s">
        <v>80</v>
      </c>
      <c r="E399" s="64">
        <v>1</v>
      </c>
      <c r="F399" s="71" t="s">
        <v>165</v>
      </c>
    </row>
    <row r="400" spans="1:7" ht="25.5" x14ac:dyDescent="0.2">
      <c r="A400" s="66">
        <v>10</v>
      </c>
      <c r="B400" s="70" t="s">
        <v>176</v>
      </c>
      <c r="C400" s="71" t="s">
        <v>99</v>
      </c>
      <c r="D400" s="71" t="s">
        <v>83</v>
      </c>
      <c r="E400" s="72">
        <f>(2+1.5+5)*1.1</f>
        <v>9.3500000000000014</v>
      </c>
      <c r="F400" s="71"/>
    </row>
    <row r="401" spans="1:7" ht="25.5" x14ac:dyDescent="0.2">
      <c r="A401" s="66">
        <v>11</v>
      </c>
      <c r="B401" s="70" t="s">
        <v>176</v>
      </c>
      <c r="C401" s="71" t="s">
        <v>98</v>
      </c>
      <c r="D401" s="71" t="s">
        <v>83</v>
      </c>
      <c r="E401" s="72">
        <f>(3.3+0.8)*1.1</f>
        <v>4.51</v>
      </c>
      <c r="F401" s="71"/>
    </row>
    <row r="402" spans="1:7" ht="25.5" x14ac:dyDescent="0.2">
      <c r="A402" s="66">
        <v>12</v>
      </c>
      <c r="B402" s="70" t="s">
        <v>176</v>
      </c>
      <c r="C402" s="71" t="s">
        <v>82</v>
      </c>
      <c r="D402" s="71" t="s">
        <v>83</v>
      </c>
      <c r="E402" s="72">
        <f>(2.9+1+3.3+0.7)*1.1</f>
        <v>8.69</v>
      </c>
      <c r="F402" s="77"/>
    </row>
    <row r="403" spans="1:7" ht="38.25" x14ac:dyDescent="0.2">
      <c r="A403" s="66">
        <v>13</v>
      </c>
      <c r="B403" s="80" t="s">
        <v>197</v>
      </c>
      <c r="C403" s="66" t="s">
        <v>198</v>
      </c>
      <c r="D403" s="66" t="s">
        <v>91</v>
      </c>
      <c r="E403" s="81">
        <f>3.3*0.26*3.14*1.1*1.3</f>
        <v>3.8525916000000007</v>
      </c>
      <c r="F403" s="8" t="s">
        <v>199</v>
      </c>
    </row>
    <row r="404" spans="1:7" ht="25.5" x14ac:dyDescent="0.2">
      <c r="A404" s="66">
        <v>14</v>
      </c>
      <c r="B404" s="70" t="s">
        <v>92</v>
      </c>
      <c r="C404" s="71"/>
      <c r="D404" s="71" t="s">
        <v>78</v>
      </c>
      <c r="E404" s="73">
        <v>1</v>
      </c>
      <c r="F404" s="77"/>
    </row>
    <row r="405" spans="1:7" ht="25.5" x14ac:dyDescent="0.2">
      <c r="A405" s="66">
        <v>15</v>
      </c>
      <c r="B405" s="70" t="s">
        <v>93</v>
      </c>
      <c r="C405" s="71"/>
      <c r="D405" s="71" t="s">
        <v>78</v>
      </c>
      <c r="E405" s="73">
        <v>1</v>
      </c>
      <c r="F405" s="77"/>
    </row>
    <row r="406" spans="1:7" x14ac:dyDescent="0.2">
      <c r="A406" s="66">
        <v>16</v>
      </c>
      <c r="B406" s="70" t="s">
        <v>94</v>
      </c>
      <c r="C406" s="71"/>
      <c r="D406" s="71" t="s">
        <v>78</v>
      </c>
      <c r="E406" s="73">
        <v>1</v>
      </c>
      <c r="F406" s="77"/>
    </row>
    <row r="407" spans="1:7" ht="25.5" x14ac:dyDescent="0.2">
      <c r="A407" s="66">
        <v>17</v>
      </c>
      <c r="B407" s="70" t="s">
        <v>95</v>
      </c>
      <c r="C407" s="71"/>
      <c r="D407" s="71" t="s">
        <v>78</v>
      </c>
      <c r="E407" s="73">
        <v>1</v>
      </c>
      <c r="F407" s="77"/>
    </row>
    <row r="408" spans="1:7" ht="25.5" x14ac:dyDescent="0.2">
      <c r="A408" s="66">
        <v>18</v>
      </c>
      <c r="B408" s="70" t="s">
        <v>96</v>
      </c>
      <c r="C408" s="71"/>
      <c r="D408" s="71" t="s">
        <v>78</v>
      </c>
      <c r="E408" s="73">
        <v>1</v>
      </c>
      <c r="F408" s="77"/>
    </row>
    <row r="409" spans="1:7" x14ac:dyDescent="0.2">
      <c r="A409" s="69"/>
      <c r="B409" s="70"/>
      <c r="C409" s="71"/>
      <c r="D409" s="71"/>
      <c r="E409" s="73"/>
      <c r="F409" s="77"/>
    </row>
    <row r="410" spans="1:7" x14ac:dyDescent="0.2">
      <c r="A410" s="66"/>
      <c r="B410" s="79" t="s">
        <v>70</v>
      </c>
      <c r="C410" s="68"/>
      <c r="D410" s="68"/>
      <c r="E410" s="68"/>
      <c r="F410" s="71"/>
      <c r="G410" s="65"/>
    </row>
    <row r="411" spans="1:7" x14ac:dyDescent="0.2">
      <c r="A411" s="66">
        <v>1</v>
      </c>
      <c r="B411" s="83" t="s">
        <v>212</v>
      </c>
      <c r="C411" s="68" t="s">
        <v>227</v>
      </c>
      <c r="D411" s="68" t="s">
        <v>80</v>
      </c>
      <c r="E411" s="68">
        <v>1</v>
      </c>
      <c r="F411" s="71" t="s">
        <v>165</v>
      </c>
      <c r="G411" s="65"/>
    </row>
    <row r="412" spans="1:7" x14ac:dyDescent="0.2">
      <c r="A412" s="66">
        <v>2</v>
      </c>
      <c r="B412" s="70" t="s">
        <v>79</v>
      </c>
      <c r="C412" s="68" t="s">
        <v>228</v>
      </c>
      <c r="D412" s="71" t="s">
        <v>80</v>
      </c>
      <c r="E412" s="68">
        <v>1</v>
      </c>
      <c r="F412" s="71" t="s">
        <v>165</v>
      </c>
      <c r="G412" s="65"/>
    </row>
    <row r="413" spans="1:7" x14ac:dyDescent="0.2">
      <c r="A413" s="66">
        <v>3</v>
      </c>
      <c r="B413" s="70" t="s">
        <v>81</v>
      </c>
      <c r="C413" s="68" t="s">
        <v>222</v>
      </c>
      <c r="D413" s="71" t="s">
        <v>80</v>
      </c>
      <c r="E413" s="68">
        <v>1</v>
      </c>
      <c r="F413" s="71" t="s">
        <v>165</v>
      </c>
      <c r="G413" s="65"/>
    </row>
    <row r="414" spans="1:7" x14ac:dyDescent="0.2">
      <c r="A414" s="66">
        <v>4</v>
      </c>
      <c r="B414" s="70" t="s">
        <v>186</v>
      </c>
      <c r="C414" s="71" t="s">
        <v>187</v>
      </c>
      <c r="D414" s="71" t="s">
        <v>78</v>
      </c>
      <c r="E414" s="71">
        <v>2</v>
      </c>
      <c r="F414" s="71" t="s">
        <v>165</v>
      </c>
    </row>
    <row r="415" spans="1:7" x14ac:dyDescent="0.2">
      <c r="A415" s="66">
        <v>5</v>
      </c>
      <c r="B415" s="70" t="s">
        <v>174</v>
      </c>
      <c r="C415" s="71" t="s">
        <v>229</v>
      </c>
      <c r="D415" s="71" t="s">
        <v>80</v>
      </c>
      <c r="E415" s="64">
        <v>1</v>
      </c>
      <c r="F415" s="71" t="s">
        <v>165</v>
      </c>
    </row>
    <row r="416" spans="1:7" ht="25.5" x14ac:dyDescent="0.2">
      <c r="A416" s="66">
        <v>6</v>
      </c>
      <c r="B416" s="70" t="s">
        <v>176</v>
      </c>
      <c r="C416" s="71" t="s">
        <v>99</v>
      </c>
      <c r="D416" s="71" t="s">
        <v>83</v>
      </c>
      <c r="E416" s="64">
        <f>(3.1+2.9+1+3.3+0.7)*1.1</f>
        <v>12.100000000000001</v>
      </c>
      <c r="F416" s="71"/>
    </row>
    <row r="417" spans="1:7" ht="38.25" x14ac:dyDescent="0.2">
      <c r="A417" s="66">
        <v>7</v>
      </c>
      <c r="B417" s="80" t="s">
        <v>197</v>
      </c>
      <c r="C417" s="66" t="s">
        <v>198</v>
      </c>
      <c r="D417" s="66" t="s">
        <v>91</v>
      </c>
      <c r="E417" s="81">
        <f>3.3*0.2*3.14*1.1*1.3</f>
        <v>2.9635320000000003</v>
      </c>
      <c r="F417" s="8" t="s">
        <v>199</v>
      </c>
    </row>
    <row r="418" spans="1:7" ht="25.5" x14ac:dyDescent="0.2">
      <c r="A418" s="66">
        <v>8</v>
      </c>
      <c r="B418" s="70" t="s">
        <v>92</v>
      </c>
      <c r="C418" s="71"/>
      <c r="D418" s="71" t="s">
        <v>78</v>
      </c>
      <c r="E418" s="73">
        <v>1</v>
      </c>
      <c r="F418" s="77"/>
    </row>
    <row r="419" spans="1:7" ht="25.5" x14ac:dyDescent="0.2">
      <c r="A419" s="66">
        <v>9</v>
      </c>
      <c r="B419" s="70" t="s">
        <v>93</v>
      </c>
      <c r="C419" s="71"/>
      <c r="D419" s="71" t="s">
        <v>78</v>
      </c>
      <c r="E419" s="73">
        <v>1</v>
      </c>
      <c r="F419" s="77"/>
    </row>
    <row r="420" spans="1:7" x14ac:dyDescent="0.2">
      <c r="A420" s="66">
        <v>10</v>
      </c>
      <c r="B420" s="70" t="s">
        <v>94</v>
      </c>
      <c r="C420" s="71"/>
      <c r="D420" s="71" t="s">
        <v>78</v>
      </c>
      <c r="E420" s="73">
        <v>1</v>
      </c>
      <c r="F420" s="77"/>
    </row>
    <row r="421" spans="1:7" ht="25.5" x14ac:dyDescent="0.2">
      <c r="A421" s="66">
        <v>11</v>
      </c>
      <c r="B421" s="70" t="s">
        <v>95</v>
      </c>
      <c r="C421" s="71"/>
      <c r="D421" s="71" t="s">
        <v>78</v>
      </c>
      <c r="E421" s="73">
        <v>1</v>
      </c>
      <c r="F421" s="77"/>
    </row>
    <row r="422" spans="1:7" ht="25.5" x14ac:dyDescent="0.2">
      <c r="A422" s="66">
        <v>12</v>
      </c>
      <c r="B422" s="70" t="s">
        <v>96</v>
      </c>
      <c r="C422" s="71"/>
      <c r="D422" s="71" t="s">
        <v>78</v>
      </c>
      <c r="E422" s="73">
        <v>1</v>
      </c>
      <c r="F422" s="77"/>
    </row>
    <row r="423" spans="1:7" x14ac:dyDescent="0.2">
      <c r="A423" s="69"/>
      <c r="B423" s="70"/>
      <c r="C423" s="71"/>
      <c r="D423" s="71"/>
      <c r="E423" s="73"/>
      <c r="F423" s="77"/>
    </row>
    <row r="424" spans="1:7" x14ac:dyDescent="0.2">
      <c r="A424" s="66"/>
      <c r="B424" s="79" t="s">
        <v>71</v>
      </c>
      <c r="C424" s="68"/>
      <c r="D424" s="68"/>
      <c r="E424" s="68"/>
      <c r="F424" s="71"/>
      <c r="G424" s="65"/>
    </row>
    <row r="425" spans="1:7" x14ac:dyDescent="0.2">
      <c r="A425" s="66">
        <v>1</v>
      </c>
      <c r="B425" s="83" t="s">
        <v>212</v>
      </c>
      <c r="C425" s="68" t="s">
        <v>227</v>
      </c>
      <c r="D425" s="68" t="s">
        <v>80</v>
      </c>
      <c r="E425" s="68">
        <v>1</v>
      </c>
      <c r="F425" s="71" t="s">
        <v>165</v>
      </c>
      <c r="G425" s="65"/>
    </row>
    <row r="426" spans="1:7" x14ac:dyDescent="0.2">
      <c r="A426" s="66">
        <v>2</v>
      </c>
      <c r="B426" s="70" t="s">
        <v>174</v>
      </c>
      <c r="C426" s="71" t="s">
        <v>229</v>
      </c>
      <c r="D426" s="71" t="s">
        <v>80</v>
      </c>
      <c r="E426" s="64">
        <v>1</v>
      </c>
      <c r="F426" s="71" t="s">
        <v>165</v>
      </c>
    </row>
    <row r="427" spans="1:7" ht="25.5" x14ac:dyDescent="0.2">
      <c r="A427" s="66">
        <v>3</v>
      </c>
      <c r="B427" s="70" t="s">
        <v>176</v>
      </c>
      <c r="C427" s="71" t="s">
        <v>99</v>
      </c>
      <c r="D427" s="71" t="s">
        <v>83</v>
      </c>
      <c r="E427" s="72">
        <f>(0.7+0.7+0.9+0.3)*1.1</f>
        <v>2.86</v>
      </c>
      <c r="F427" s="71"/>
    </row>
    <row r="428" spans="1:7" ht="38.25" x14ac:dyDescent="0.2">
      <c r="A428" s="66">
        <v>4</v>
      </c>
      <c r="B428" s="80" t="s">
        <v>197</v>
      </c>
      <c r="C428" s="66" t="s">
        <v>198</v>
      </c>
      <c r="D428" s="66" t="s">
        <v>91</v>
      </c>
      <c r="E428" s="81">
        <f>1.6*0.2*3.14*1.1*1.3</f>
        <v>1.4368640000000004</v>
      </c>
      <c r="F428" s="8" t="s">
        <v>199</v>
      </c>
    </row>
    <row r="429" spans="1:7" ht="25.5" x14ac:dyDescent="0.2">
      <c r="A429" s="66">
        <v>5</v>
      </c>
      <c r="B429" s="70" t="s">
        <v>92</v>
      </c>
      <c r="C429" s="71"/>
      <c r="D429" s="71" t="s">
        <v>78</v>
      </c>
      <c r="E429" s="73">
        <v>1</v>
      </c>
      <c r="F429" s="77"/>
    </row>
    <row r="430" spans="1:7" ht="25.5" x14ac:dyDescent="0.2">
      <c r="A430" s="66">
        <v>6</v>
      </c>
      <c r="B430" s="70" t="s">
        <v>93</v>
      </c>
      <c r="C430" s="71"/>
      <c r="D430" s="71" t="s">
        <v>78</v>
      </c>
      <c r="E430" s="73">
        <v>1</v>
      </c>
      <c r="F430" s="77"/>
    </row>
    <row r="431" spans="1:7" x14ac:dyDescent="0.2">
      <c r="A431" s="66">
        <v>7</v>
      </c>
      <c r="B431" s="70" t="s">
        <v>94</v>
      </c>
      <c r="C431" s="71"/>
      <c r="D431" s="71" t="s">
        <v>78</v>
      </c>
      <c r="E431" s="73">
        <v>1</v>
      </c>
      <c r="F431" s="77"/>
    </row>
    <row r="432" spans="1:7" ht="25.5" x14ac:dyDescent="0.2">
      <c r="A432" s="66">
        <v>8</v>
      </c>
      <c r="B432" s="70" t="s">
        <v>95</v>
      </c>
      <c r="C432" s="71"/>
      <c r="D432" s="71" t="s">
        <v>78</v>
      </c>
      <c r="E432" s="73">
        <v>1</v>
      </c>
      <c r="F432" s="77"/>
    </row>
    <row r="433" spans="1:7" ht="25.5" x14ac:dyDescent="0.2">
      <c r="A433" s="66">
        <v>9</v>
      </c>
      <c r="B433" s="70" t="s">
        <v>96</v>
      </c>
      <c r="C433" s="71"/>
      <c r="D433" s="71" t="s">
        <v>78</v>
      </c>
      <c r="E433" s="73">
        <v>1</v>
      </c>
      <c r="F433" s="77"/>
    </row>
    <row r="434" spans="1:7" x14ac:dyDescent="0.2">
      <c r="A434" s="69"/>
      <c r="B434" s="70"/>
      <c r="C434" s="71"/>
      <c r="D434" s="71"/>
      <c r="E434" s="73"/>
      <c r="F434" s="77"/>
    </row>
    <row r="435" spans="1:7" ht="25.5" x14ac:dyDescent="0.2">
      <c r="A435" s="66"/>
      <c r="B435" s="79" t="s">
        <v>221</v>
      </c>
      <c r="C435" s="68"/>
      <c r="D435" s="68"/>
      <c r="E435" s="68"/>
      <c r="F435" s="71"/>
      <c r="G435" s="65"/>
    </row>
    <row r="436" spans="1:7" ht="25.5" x14ac:dyDescent="0.2">
      <c r="A436" s="66">
        <v>1</v>
      </c>
      <c r="B436" s="82" t="s">
        <v>209</v>
      </c>
      <c r="C436" s="68" t="s">
        <v>239</v>
      </c>
      <c r="D436" s="71" t="s">
        <v>78</v>
      </c>
      <c r="E436" s="68">
        <v>3</v>
      </c>
      <c r="F436" s="71" t="s">
        <v>169</v>
      </c>
      <c r="G436" s="65"/>
    </row>
    <row r="437" spans="1:7" ht="25.5" x14ac:dyDescent="0.2">
      <c r="A437" s="66">
        <v>2</v>
      </c>
      <c r="B437" s="82" t="s">
        <v>209</v>
      </c>
      <c r="C437" s="68" t="s">
        <v>240</v>
      </c>
      <c r="D437" s="71" t="s">
        <v>78</v>
      </c>
      <c r="E437" s="68">
        <v>1</v>
      </c>
      <c r="F437" s="71" t="s">
        <v>169</v>
      </c>
      <c r="G437" s="65"/>
    </row>
    <row r="438" spans="1:7" ht="25.5" x14ac:dyDescent="0.2">
      <c r="A438" s="66">
        <v>3</v>
      </c>
      <c r="B438" s="70" t="s">
        <v>179</v>
      </c>
      <c r="C438" s="71" t="s">
        <v>97</v>
      </c>
      <c r="D438" s="71" t="s">
        <v>83</v>
      </c>
      <c r="E438" s="72">
        <f>(1.6+1.7)*1.1</f>
        <v>3.63</v>
      </c>
      <c r="F438" s="77"/>
    </row>
    <row r="439" spans="1:7" ht="25.5" x14ac:dyDescent="0.2">
      <c r="A439" s="66">
        <v>4</v>
      </c>
      <c r="B439" s="70" t="s">
        <v>179</v>
      </c>
      <c r="C439" s="71" t="s">
        <v>241</v>
      </c>
      <c r="D439" s="71" t="s">
        <v>83</v>
      </c>
      <c r="E439" s="72">
        <f>(0.9+3)*1.1</f>
        <v>4.29</v>
      </c>
      <c r="F439" s="77"/>
    </row>
    <row r="440" spans="1:7" ht="25.5" x14ac:dyDescent="0.2">
      <c r="A440" s="66">
        <v>5</v>
      </c>
      <c r="B440" s="70" t="s">
        <v>179</v>
      </c>
      <c r="C440" s="71" t="s">
        <v>101</v>
      </c>
      <c r="D440" s="71" t="s">
        <v>83</v>
      </c>
      <c r="E440" s="72">
        <f>(0.9+2.8)*1.1</f>
        <v>4.07</v>
      </c>
      <c r="F440" s="77"/>
    </row>
    <row r="441" spans="1:7" ht="38.25" x14ac:dyDescent="0.2">
      <c r="A441" s="66">
        <v>6</v>
      </c>
      <c r="B441" s="70" t="s">
        <v>243</v>
      </c>
      <c r="C441" s="71" t="s">
        <v>242</v>
      </c>
      <c r="D441" s="71" t="s">
        <v>83</v>
      </c>
      <c r="E441" s="72">
        <f>(1.4)*1.1</f>
        <v>1.54</v>
      </c>
      <c r="F441" s="77"/>
    </row>
    <row r="442" spans="1:7" ht="38.25" x14ac:dyDescent="0.2">
      <c r="A442" s="66">
        <v>7</v>
      </c>
      <c r="B442" s="70" t="s">
        <v>243</v>
      </c>
      <c r="C442" s="71" t="s">
        <v>88</v>
      </c>
      <c r="D442" s="71" t="s">
        <v>83</v>
      </c>
      <c r="E442" s="72">
        <f>(1.2+3.4+1.6+1+3.7)*1.1</f>
        <v>11.99</v>
      </c>
      <c r="F442" s="77"/>
    </row>
    <row r="443" spans="1:7" ht="25.5" x14ac:dyDescent="0.2">
      <c r="A443" s="66">
        <v>8</v>
      </c>
      <c r="B443" s="70" t="s">
        <v>179</v>
      </c>
      <c r="C443" s="71" t="s">
        <v>244</v>
      </c>
      <c r="D443" s="71" t="s">
        <v>83</v>
      </c>
      <c r="E443" s="72">
        <f>(0.7+0.4+0.4)*1.1</f>
        <v>1.6500000000000001</v>
      </c>
      <c r="F443" s="77"/>
    </row>
    <row r="444" spans="1:7" ht="25.5" x14ac:dyDescent="0.2">
      <c r="A444" s="66">
        <v>9</v>
      </c>
      <c r="B444" s="70" t="s">
        <v>179</v>
      </c>
      <c r="C444" s="71" t="s">
        <v>245</v>
      </c>
      <c r="D444" s="71" t="s">
        <v>83</v>
      </c>
      <c r="E444" s="72">
        <v>0.2</v>
      </c>
      <c r="F444" s="77"/>
    </row>
    <row r="445" spans="1:7" ht="38.25" x14ac:dyDescent="0.2">
      <c r="A445" s="66">
        <v>10</v>
      </c>
      <c r="B445" s="80" t="s">
        <v>238</v>
      </c>
      <c r="C445" s="66" t="s">
        <v>198</v>
      </c>
      <c r="D445" s="66" t="s">
        <v>91</v>
      </c>
      <c r="E445" s="81">
        <f>1.4*3.2*1.1*1.3+(0.7+0.4+0.4)*3.8*1.1*1.3+4.7*3.6*1.1*1.3+3.7*3*1.1*1.3+3.9*2.6*1.1*1.3+3.3*2*1.1*1.3+1.2*0.6*2+1.4*0.6*2+0.7*0.6</f>
        <v>82.10420000000002</v>
      </c>
      <c r="F445" s="8" t="s">
        <v>199</v>
      </c>
    </row>
    <row r="446" spans="1:7" ht="38.25" x14ac:dyDescent="0.2">
      <c r="A446" s="66">
        <v>11</v>
      </c>
      <c r="B446" s="80" t="s">
        <v>246</v>
      </c>
      <c r="C446" s="66" t="s">
        <v>247</v>
      </c>
      <c r="D446" s="66" t="s">
        <v>91</v>
      </c>
      <c r="E446" s="81">
        <f>5*3.4*1.1*1.3</f>
        <v>24.310000000000006</v>
      </c>
      <c r="F446" s="8" t="s">
        <v>199</v>
      </c>
    </row>
    <row r="447" spans="1:7" ht="25.5" x14ac:dyDescent="0.2">
      <c r="A447" s="66">
        <v>12</v>
      </c>
      <c r="B447" s="70" t="s">
        <v>92</v>
      </c>
      <c r="C447" s="71"/>
      <c r="D447" s="71" t="s">
        <v>78</v>
      </c>
      <c r="E447" s="73">
        <v>1</v>
      </c>
      <c r="F447" s="77"/>
    </row>
    <row r="448" spans="1:7" ht="25.5" x14ac:dyDescent="0.2">
      <c r="A448" s="66">
        <v>13</v>
      </c>
      <c r="B448" s="70" t="s">
        <v>93</v>
      </c>
      <c r="C448" s="71"/>
      <c r="D448" s="71" t="s">
        <v>78</v>
      </c>
      <c r="E448" s="73">
        <v>1</v>
      </c>
      <c r="F448" s="77"/>
    </row>
    <row r="449" spans="1:6" x14ac:dyDescent="0.2">
      <c r="A449" s="66">
        <v>14</v>
      </c>
      <c r="B449" s="70" t="s">
        <v>94</v>
      </c>
      <c r="C449" s="71"/>
      <c r="D449" s="71" t="s">
        <v>78</v>
      </c>
      <c r="E449" s="73">
        <v>1</v>
      </c>
      <c r="F449" s="77"/>
    </row>
    <row r="450" spans="1:6" ht="25.5" x14ac:dyDescent="0.2">
      <c r="A450" s="66">
        <v>15</v>
      </c>
      <c r="B450" s="70" t="s">
        <v>95</v>
      </c>
      <c r="C450" s="71"/>
      <c r="D450" s="71" t="s">
        <v>78</v>
      </c>
      <c r="E450" s="73">
        <v>1</v>
      </c>
      <c r="F450" s="77"/>
    </row>
    <row r="451" spans="1:6" ht="25.5" x14ac:dyDescent="0.2">
      <c r="A451" s="66">
        <v>16</v>
      </c>
      <c r="B451" s="70" t="s">
        <v>96</v>
      </c>
      <c r="C451" s="71"/>
      <c r="D451" s="71" t="s">
        <v>78</v>
      </c>
      <c r="E451" s="73">
        <v>1</v>
      </c>
      <c r="F451" s="77"/>
    </row>
    <row r="452" spans="1:6" x14ac:dyDescent="0.2">
      <c r="A452" s="69"/>
      <c r="B452" s="70"/>
      <c r="C452" s="71"/>
      <c r="D452" s="71"/>
      <c r="E452" s="73"/>
      <c r="F452" s="77"/>
    </row>
    <row r="453" spans="1:6" x14ac:dyDescent="0.2">
      <c r="A453" s="76"/>
      <c r="B453" s="75" t="s">
        <v>104</v>
      </c>
      <c r="C453" s="76"/>
      <c r="D453" s="76"/>
      <c r="E453" s="64"/>
      <c r="F453" s="77"/>
    </row>
    <row r="454" spans="1:6" x14ac:dyDescent="0.2">
      <c r="A454" s="76">
        <v>1</v>
      </c>
      <c r="B454" s="77" t="s">
        <v>105</v>
      </c>
      <c r="C454" s="76" t="s">
        <v>106</v>
      </c>
      <c r="D454" s="76" t="s">
        <v>80</v>
      </c>
      <c r="E454" s="64">
        <v>26</v>
      </c>
      <c r="F454" s="77"/>
    </row>
    <row r="455" spans="1:6" ht="25.5" x14ac:dyDescent="0.2">
      <c r="A455" s="71">
        <v>2</v>
      </c>
      <c r="B455" s="70" t="s">
        <v>107</v>
      </c>
      <c r="C455" s="71"/>
      <c r="D455" s="71" t="s">
        <v>102</v>
      </c>
      <c r="E455" s="73">
        <v>26</v>
      </c>
      <c r="F455" s="77"/>
    </row>
    <row r="456" spans="1:6" ht="25.5" x14ac:dyDescent="0.2">
      <c r="A456" s="71">
        <v>3</v>
      </c>
      <c r="B456" s="70" t="s">
        <v>248</v>
      </c>
      <c r="C456" s="71" t="s">
        <v>249</v>
      </c>
      <c r="D456" s="71" t="s">
        <v>78</v>
      </c>
      <c r="E456" s="73">
        <v>25</v>
      </c>
      <c r="F456" s="71" t="s">
        <v>250</v>
      </c>
    </row>
    <row r="457" spans="1:6" ht="25.5" x14ac:dyDescent="0.2">
      <c r="A457" s="76">
        <v>4</v>
      </c>
      <c r="B457" s="70" t="s">
        <v>176</v>
      </c>
      <c r="C457" s="71" t="s">
        <v>99</v>
      </c>
      <c r="D457" s="71" t="s">
        <v>83</v>
      </c>
      <c r="E457" s="72">
        <v>5.5</v>
      </c>
      <c r="F457" s="71"/>
    </row>
    <row r="458" spans="1:6" ht="38.25" x14ac:dyDescent="0.2">
      <c r="A458" s="71">
        <v>5</v>
      </c>
      <c r="B458" s="80" t="s">
        <v>197</v>
      </c>
      <c r="C458" s="66" t="s">
        <v>198</v>
      </c>
      <c r="D458" s="66" t="s">
        <v>91</v>
      </c>
      <c r="E458" s="81">
        <f>5.5*0.2*3.14*1.1*1.3</f>
        <v>4.9392200000000015</v>
      </c>
      <c r="F458" s="8" t="s">
        <v>199</v>
      </c>
    </row>
    <row r="459" spans="1:6" x14ac:dyDescent="0.2">
      <c r="A459" s="71">
        <v>6</v>
      </c>
      <c r="B459" s="70" t="s">
        <v>94</v>
      </c>
      <c r="C459" s="71"/>
      <c r="D459" s="71" t="s">
        <v>78</v>
      </c>
      <c r="E459" s="73">
        <v>1</v>
      </c>
      <c r="F459" s="77"/>
    </row>
    <row r="460" spans="1:6" ht="38.25" x14ac:dyDescent="0.2">
      <c r="A460" s="64">
        <v>7</v>
      </c>
      <c r="B460" s="70" t="s">
        <v>251</v>
      </c>
      <c r="C460" s="71"/>
      <c r="D460" s="71" t="s">
        <v>78</v>
      </c>
      <c r="E460" s="73">
        <v>1</v>
      </c>
      <c r="F460" s="77"/>
    </row>
    <row r="461" spans="1:6" x14ac:dyDescent="0.2">
      <c r="A461" s="71"/>
      <c r="B461" s="70"/>
      <c r="C461" s="71"/>
      <c r="D461" s="71"/>
      <c r="E461" s="73"/>
      <c r="F461" s="77"/>
    </row>
    <row r="462" spans="1:6" s="65" customFormat="1" x14ac:dyDescent="0.2">
      <c r="B462" s="87"/>
      <c r="E462" s="88"/>
    </row>
    <row r="463" spans="1:6" s="65" customFormat="1" x14ac:dyDescent="0.2">
      <c r="A463" s="88"/>
      <c r="B463" s="89"/>
      <c r="D463" s="90"/>
      <c r="E463" s="91"/>
      <c r="F463" s="89"/>
    </row>
    <row r="464" spans="1:6" s="65" customFormat="1" x14ac:dyDescent="0.2">
      <c r="A464" s="88"/>
      <c r="B464" s="89"/>
      <c r="D464" s="90"/>
      <c r="E464" s="91"/>
      <c r="F464" s="89"/>
    </row>
    <row r="465" spans="1:6" s="65" customFormat="1" x14ac:dyDescent="0.2">
      <c r="A465" s="88"/>
      <c r="B465" s="89"/>
      <c r="D465" s="90"/>
      <c r="E465" s="91"/>
      <c r="F465" s="89"/>
    </row>
    <row r="466" spans="1:6" s="65" customFormat="1" x14ac:dyDescent="0.2">
      <c r="A466" s="88"/>
      <c r="B466" s="89"/>
      <c r="D466" s="90"/>
      <c r="E466" s="91"/>
      <c r="F466" s="89"/>
    </row>
    <row r="467" spans="1:6" s="65" customFormat="1" x14ac:dyDescent="0.2">
      <c r="A467" s="88"/>
      <c r="B467" s="92"/>
      <c r="D467" s="90"/>
      <c r="E467" s="91"/>
      <c r="F467" s="89"/>
    </row>
    <row r="468" spans="1:6" s="65" customFormat="1" x14ac:dyDescent="0.2">
      <c r="E468" s="88"/>
    </row>
    <row r="469" spans="1:6" s="65" customFormat="1" x14ac:dyDescent="0.2">
      <c r="E469" s="88"/>
    </row>
  </sheetData>
  <mergeCells count="6">
    <mergeCell ref="F2:F3"/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&amp;CVilces sākumskolas ēkas vienkāršota atjaunošana.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L35" sqref="L35"/>
    </sheetView>
  </sheetViews>
  <sheetFormatPr defaultRowHeight="15" x14ac:dyDescent="0.25"/>
  <cols>
    <col min="1" max="1" width="5.28515625" bestFit="1" customWidth="1"/>
    <col min="2" max="2" width="38.7109375" customWidth="1"/>
    <col min="3" max="3" width="13.28515625" customWidth="1"/>
    <col min="4" max="4" width="6.140625" customWidth="1"/>
    <col min="5" max="5" width="7.28515625" bestFit="1" customWidth="1"/>
    <col min="6" max="6" width="8.85546875" bestFit="1" customWidth="1"/>
  </cols>
  <sheetData>
    <row r="1" spans="1:6" s="61" customFormat="1" x14ac:dyDescent="0.2">
      <c r="A1" s="58" t="s">
        <v>259</v>
      </c>
      <c r="B1" s="58"/>
      <c r="C1" s="59"/>
      <c r="D1" s="57"/>
      <c r="E1" s="60"/>
    </row>
    <row r="2" spans="1:6" s="61" customFormat="1" ht="12.75" x14ac:dyDescent="0.2">
      <c r="A2" s="174" t="s">
        <v>73</v>
      </c>
      <c r="B2" s="175" t="s">
        <v>74</v>
      </c>
      <c r="C2" s="175" t="s">
        <v>75</v>
      </c>
      <c r="D2" s="175" t="s">
        <v>76</v>
      </c>
      <c r="E2" s="172" t="s">
        <v>77</v>
      </c>
      <c r="F2" s="172" t="s">
        <v>16</v>
      </c>
    </row>
    <row r="3" spans="1:6" s="61" customFormat="1" ht="27.75" customHeight="1" x14ac:dyDescent="0.2">
      <c r="A3" s="175"/>
      <c r="B3" s="175"/>
      <c r="C3" s="175"/>
      <c r="D3" s="175"/>
      <c r="E3" s="173"/>
      <c r="F3" s="173"/>
    </row>
    <row r="4" spans="1:6" s="61" customFormat="1" ht="12.75" x14ac:dyDescent="0.2">
      <c r="A4" s="77"/>
      <c r="B4" s="75" t="s">
        <v>108</v>
      </c>
      <c r="C4" s="77"/>
      <c r="D4" s="77"/>
      <c r="E4" s="84"/>
      <c r="F4" s="77"/>
    </row>
    <row r="5" spans="1:6" s="61" customFormat="1" ht="25.5" x14ac:dyDescent="0.2">
      <c r="A5" s="84">
        <v>1</v>
      </c>
      <c r="B5" s="74" t="s">
        <v>252</v>
      </c>
      <c r="C5" s="71" t="s">
        <v>260</v>
      </c>
      <c r="D5" s="71" t="s">
        <v>91</v>
      </c>
      <c r="E5" s="72">
        <v>26</v>
      </c>
      <c r="F5" s="74" t="s">
        <v>255</v>
      </c>
    </row>
    <row r="6" spans="1:6" s="61" customFormat="1" ht="25.5" x14ac:dyDescent="0.2">
      <c r="A6" s="84">
        <v>2</v>
      </c>
      <c r="B6" s="74" t="s">
        <v>109</v>
      </c>
      <c r="C6" s="71" t="s">
        <v>260</v>
      </c>
      <c r="D6" s="71" t="s">
        <v>91</v>
      </c>
      <c r="E6" s="72">
        <v>16</v>
      </c>
      <c r="F6" s="74" t="s">
        <v>255</v>
      </c>
    </row>
    <row r="7" spans="1:6" s="61" customFormat="1" ht="25.5" x14ac:dyDescent="0.2">
      <c r="A7" s="84">
        <v>3</v>
      </c>
      <c r="B7" s="74" t="s">
        <v>253</v>
      </c>
      <c r="C7" s="71" t="s">
        <v>260</v>
      </c>
      <c r="D7" s="71" t="s">
        <v>91</v>
      </c>
      <c r="E7" s="72">
        <v>19.2</v>
      </c>
      <c r="F7" s="74" t="s">
        <v>255</v>
      </c>
    </row>
    <row r="8" spans="1:6" s="61" customFormat="1" ht="25.5" x14ac:dyDescent="0.2">
      <c r="A8" s="84">
        <v>4</v>
      </c>
      <c r="B8" s="74" t="s">
        <v>254</v>
      </c>
      <c r="C8" s="71" t="s">
        <v>260</v>
      </c>
      <c r="D8" s="71" t="s">
        <v>91</v>
      </c>
      <c r="E8" s="72">
        <v>16</v>
      </c>
      <c r="F8" s="74" t="s">
        <v>255</v>
      </c>
    </row>
    <row r="9" spans="1:6" s="61" customFormat="1" ht="25.5" x14ac:dyDescent="0.2">
      <c r="A9" s="84">
        <v>5</v>
      </c>
      <c r="B9" s="86" t="s">
        <v>110</v>
      </c>
      <c r="C9" s="71" t="s">
        <v>260</v>
      </c>
      <c r="D9" s="71" t="s">
        <v>91</v>
      </c>
      <c r="E9" s="72">
        <v>6</v>
      </c>
      <c r="F9" s="74" t="s">
        <v>255</v>
      </c>
    </row>
    <row r="10" spans="1:6" s="61" customFormat="1" ht="12.75" x14ac:dyDescent="0.2">
      <c r="A10" s="77"/>
      <c r="B10" s="77"/>
      <c r="C10" s="77"/>
      <c r="D10" s="77"/>
      <c r="E10" s="84"/>
      <c r="F10" s="77"/>
    </row>
    <row r="11" spans="1:6" x14ac:dyDescent="0.25">
      <c r="A11" s="9"/>
      <c r="B11" s="75" t="s">
        <v>352</v>
      </c>
      <c r="C11" s="9"/>
      <c r="D11" s="9"/>
      <c r="E11" s="9"/>
      <c r="F11" s="9"/>
    </row>
    <row r="12" spans="1:6" ht="45" x14ac:dyDescent="0.25">
      <c r="A12" s="2">
        <v>1</v>
      </c>
      <c r="B12" s="127" t="s">
        <v>353</v>
      </c>
      <c r="C12" s="125"/>
      <c r="D12" s="2" t="s">
        <v>83</v>
      </c>
      <c r="E12" s="129">
        <v>400</v>
      </c>
      <c r="F12" s="71" t="s">
        <v>255</v>
      </c>
    </row>
    <row r="13" spans="1:6" ht="45" x14ac:dyDescent="0.25">
      <c r="A13" s="2">
        <v>2</v>
      </c>
      <c r="B13" s="127" t="s">
        <v>354</v>
      </c>
      <c r="C13" s="125"/>
      <c r="D13" s="2" t="s">
        <v>83</v>
      </c>
      <c r="E13" s="129">
        <v>250</v>
      </c>
      <c r="F13" s="71" t="s">
        <v>255</v>
      </c>
    </row>
    <row r="14" spans="1:6" ht="45" x14ac:dyDescent="0.25">
      <c r="A14" s="2">
        <v>3</v>
      </c>
      <c r="B14" s="127" t="s">
        <v>363</v>
      </c>
      <c r="C14" s="125"/>
      <c r="D14" s="2" t="s">
        <v>83</v>
      </c>
      <c r="E14" s="129">
        <v>100</v>
      </c>
      <c r="F14" s="71" t="s">
        <v>255</v>
      </c>
    </row>
    <row r="15" spans="1:6" ht="30" x14ac:dyDescent="0.25">
      <c r="A15" s="2">
        <v>4</v>
      </c>
      <c r="B15" s="128" t="s">
        <v>361</v>
      </c>
      <c r="C15" s="125"/>
      <c r="D15" s="2" t="s">
        <v>80</v>
      </c>
      <c r="E15" s="2">
        <v>8</v>
      </c>
      <c r="F15" s="71" t="s">
        <v>255</v>
      </c>
    </row>
    <row r="16" spans="1:6" ht="30" x14ac:dyDescent="0.25">
      <c r="A16" s="2">
        <v>5</v>
      </c>
      <c r="B16" s="128" t="s">
        <v>355</v>
      </c>
      <c r="C16" s="3"/>
      <c r="D16" s="2" t="s">
        <v>80</v>
      </c>
      <c r="E16" s="2">
        <v>20</v>
      </c>
      <c r="F16" s="71" t="s">
        <v>255</v>
      </c>
    </row>
    <row r="17" spans="1:6" ht="30" x14ac:dyDescent="0.25">
      <c r="A17" s="2">
        <v>6</v>
      </c>
      <c r="B17" s="128" t="s">
        <v>356</v>
      </c>
      <c r="C17" s="3"/>
      <c r="D17" s="2" t="s">
        <v>80</v>
      </c>
      <c r="E17" s="2">
        <v>18</v>
      </c>
      <c r="F17" s="71" t="s">
        <v>255</v>
      </c>
    </row>
    <row r="18" spans="1:6" ht="30" x14ac:dyDescent="0.25">
      <c r="A18" s="2">
        <v>7</v>
      </c>
      <c r="B18" s="128" t="s">
        <v>357</v>
      </c>
      <c r="C18" s="3"/>
      <c r="D18" s="2" t="s">
        <v>80</v>
      </c>
      <c r="E18" s="2">
        <v>6</v>
      </c>
      <c r="F18" s="71" t="s">
        <v>255</v>
      </c>
    </row>
    <row r="19" spans="1:6" ht="30" x14ac:dyDescent="0.25">
      <c r="A19" s="2">
        <v>8</v>
      </c>
      <c r="B19" s="128" t="s">
        <v>358</v>
      </c>
      <c r="C19" s="3"/>
      <c r="D19" s="2" t="s">
        <v>80</v>
      </c>
      <c r="E19" s="2">
        <v>2</v>
      </c>
      <c r="F19" s="71" t="s">
        <v>255</v>
      </c>
    </row>
    <row r="20" spans="1:6" ht="30" x14ac:dyDescent="0.25">
      <c r="A20" s="2">
        <v>9</v>
      </c>
      <c r="B20" s="128" t="s">
        <v>360</v>
      </c>
      <c r="C20" s="3"/>
      <c r="D20" s="2" t="s">
        <v>80</v>
      </c>
      <c r="E20" s="2">
        <v>12</v>
      </c>
      <c r="F20" s="71" t="s">
        <v>255</v>
      </c>
    </row>
    <row r="21" spans="1:6" ht="30" x14ac:dyDescent="0.25">
      <c r="A21" s="2">
        <v>10</v>
      </c>
      <c r="B21" s="128" t="s">
        <v>359</v>
      </c>
      <c r="C21" s="3"/>
      <c r="D21" s="2" t="s">
        <v>80</v>
      </c>
      <c r="E21" s="2">
        <v>4</v>
      </c>
      <c r="F21" s="71" t="s">
        <v>255</v>
      </c>
    </row>
    <row r="22" spans="1:6" x14ac:dyDescent="0.25">
      <c r="A22" s="2"/>
      <c r="B22" s="126"/>
      <c r="C22" s="3"/>
      <c r="D22" s="2"/>
      <c r="E22" s="2"/>
      <c r="F22" s="3"/>
    </row>
    <row r="23" spans="1:6" x14ac:dyDescent="0.25">
      <c r="A23" s="2"/>
      <c r="B23" s="75" t="s">
        <v>362</v>
      </c>
      <c r="C23" s="3"/>
      <c r="D23" s="2"/>
      <c r="E23" s="2"/>
      <c r="F23" s="3"/>
    </row>
    <row r="24" spans="1:6" ht="30" x14ac:dyDescent="0.25">
      <c r="A24" s="2">
        <v>1</v>
      </c>
      <c r="B24" s="126" t="s">
        <v>364</v>
      </c>
      <c r="C24" s="3"/>
      <c r="D24" s="2" t="s">
        <v>80</v>
      </c>
      <c r="E24" s="2">
        <v>1</v>
      </c>
      <c r="F24" s="3"/>
    </row>
    <row r="25" spans="1:6" ht="45" x14ac:dyDescent="0.25">
      <c r="A25" s="2">
        <v>2</v>
      </c>
      <c r="B25" s="127" t="s">
        <v>354</v>
      </c>
      <c r="C25" s="3"/>
      <c r="D25" s="2" t="s">
        <v>83</v>
      </c>
      <c r="E25" s="129">
        <v>20</v>
      </c>
      <c r="F25" s="71" t="s">
        <v>255</v>
      </c>
    </row>
    <row r="26" spans="1:6" ht="45" x14ac:dyDescent="0.25">
      <c r="A26" s="2">
        <v>3</v>
      </c>
      <c r="B26" s="127" t="s">
        <v>365</v>
      </c>
      <c r="C26" s="3"/>
      <c r="D26" s="2" t="s">
        <v>83</v>
      </c>
      <c r="E26" s="129">
        <v>20</v>
      </c>
      <c r="F26" s="71" t="s">
        <v>255</v>
      </c>
    </row>
    <row r="27" spans="1:6" x14ac:dyDescent="0.25">
      <c r="A27" s="2"/>
      <c r="B27" s="126"/>
      <c r="C27" s="3"/>
      <c r="D27" s="2"/>
      <c r="E27" s="2"/>
      <c r="F27" s="3"/>
    </row>
    <row r="28" spans="1:6" x14ac:dyDescent="0.25">
      <c r="A28" s="2"/>
      <c r="B28" s="126"/>
      <c r="C28" s="3"/>
      <c r="D28" s="2"/>
      <c r="E28" s="2"/>
      <c r="F28" s="3"/>
    </row>
  </sheetData>
  <mergeCells count="6">
    <mergeCell ref="F2:F3"/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&amp;CVilces sākumskolas ēkas vienkāršota atjaunošana.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workbookViewId="0">
      <selection activeCell="J14" sqref="J14"/>
    </sheetView>
  </sheetViews>
  <sheetFormatPr defaultRowHeight="15" x14ac:dyDescent="0.25"/>
  <cols>
    <col min="1" max="1" width="3.85546875" customWidth="1"/>
    <col min="2" max="2" width="44.140625" customWidth="1"/>
    <col min="3" max="3" width="14.85546875" customWidth="1"/>
    <col min="4" max="4" width="5.85546875" customWidth="1"/>
    <col min="5" max="5" width="7.28515625" bestFit="1" customWidth="1"/>
    <col min="6" max="6" width="11" customWidth="1"/>
  </cols>
  <sheetData>
    <row r="1" spans="1:7" s="61" customFormat="1" x14ac:dyDescent="0.2">
      <c r="A1" s="57"/>
      <c r="B1" s="58" t="s">
        <v>261</v>
      </c>
      <c r="C1" s="59"/>
      <c r="D1" s="57"/>
      <c r="E1" s="60"/>
    </row>
    <row r="2" spans="1:7" s="61" customFormat="1" ht="12.75" x14ac:dyDescent="0.2">
      <c r="A2" s="174" t="s">
        <v>73</v>
      </c>
      <c r="B2" s="175" t="s">
        <v>74</v>
      </c>
      <c r="C2" s="175" t="s">
        <v>75</v>
      </c>
      <c r="D2" s="175" t="s">
        <v>76</v>
      </c>
      <c r="E2" s="172" t="s">
        <v>77</v>
      </c>
      <c r="F2" s="172" t="s">
        <v>16</v>
      </c>
    </row>
    <row r="3" spans="1:7" s="61" customFormat="1" ht="26.25" customHeight="1" x14ac:dyDescent="0.2">
      <c r="A3" s="175"/>
      <c r="B3" s="175"/>
      <c r="C3" s="175"/>
      <c r="D3" s="175"/>
      <c r="E3" s="173"/>
      <c r="F3" s="173"/>
    </row>
    <row r="4" spans="1:7" s="61" customFormat="1" ht="12.75" x14ac:dyDescent="0.2">
      <c r="A4" s="111"/>
      <c r="B4" s="112" t="s">
        <v>265</v>
      </c>
      <c r="C4" s="111"/>
      <c r="D4" s="111"/>
      <c r="E4" s="113"/>
      <c r="F4" s="113"/>
      <c r="G4" s="65"/>
    </row>
    <row r="5" spans="1:7" ht="38.25" x14ac:dyDescent="0.25">
      <c r="A5" s="99">
        <v>1</v>
      </c>
      <c r="B5" s="114" t="s">
        <v>297</v>
      </c>
      <c r="C5" s="99" t="s">
        <v>307</v>
      </c>
      <c r="D5" s="115" t="s">
        <v>83</v>
      </c>
      <c r="E5" s="116">
        <v>84</v>
      </c>
      <c r="F5" s="103" t="s">
        <v>306</v>
      </c>
    </row>
    <row r="6" spans="1:7" ht="38.25" x14ac:dyDescent="0.25">
      <c r="A6" s="99">
        <v>2</v>
      </c>
      <c r="B6" s="114" t="s">
        <v>298</v>
      </c>
      <c r="C6" s="99" t="s">
        <v>308</v>
      </c>
      <c r="D6" s="115" t="s">
        <v>83</v>
      </c>
      <c r="E6" s="116">
        <v>30</v>
      </c>
      <c r="F6" s="103" t="s">
        <v>306</v>
      </c>
    </row>
    <row r="7" spans="1:7" ht="38.25" x14ac:dyDescent="0.25">
      <c r="A7" s="99">
        <v>3</v>
      </c>
      <c r="B7" s="114" t="s">
        <v>301</v>
      </c>
      <c r="C7" s="99" t="s">
        <v>317</v>
      </c>
      <c r="D7" s="115" t="s">
        <v>83</v>
      </c>
      <c r="E7" s="116">
        <v>6</v>
      </c>
      <c r="F7" s="103" t="s">
        <v>306</v>
      </c>
    </row>
    <row r="8" spans="1:7" ht="38.25" x14ac:dyDescent="0.25">
      <c r="A8" s="99">
        <v>4</v>
      </c>
      <c r="B8" s="114" t="s">
        <v>299</v>
      </c>
      <c r="C8" s="115" t="s">
        <v>309</v>
      </c>
      <c r="D8" s="115" t="s">
        <v>78</v>
      </c>
      <c r="E8" s="115">
        <v>1</v>
      </c>
      <c r="F8" s="103" t="s">
        <v>306</v>
      </c>
    </row>
    <row r="9" spans="1:7" ht="38.25" x14ac:dyDescent="0.25">
      <c r="A9" s="99">
        <v>5</v>
      </c>
      <c r="B9" s="114" t="s">
        <v>300</v>
      </c>
      <c r="C9" s="115" t="s">
        <v>309</v>
      </c>
      <c r="D9" s="115" t="s">
        <v>78</v>
      </c>
      <c r="E9" s="118">
        <v>1</v>
      </c>
      <c r="F9" s="103" t="s">
        <v>306</v>
      </c>
    </row>
    <row r="10" spans="1:7" ht="25.5" x14ac:dyDescent="0.25">
      <c r="A10" s="99">
        <v>6</v>
      </c>
      <c r="B10" s="136" t="s">
        <v>368</v>
      </c>
      <c r="C10" s="135" t="s">
        <v>370</v>
      </c>
      <c r="D10" s="103" t="s">
        <v>83</v>
      </c>
      <c r="E10" s="106">
        <f>E5</f>
        <v>84</v>
      </c>
      <c r="F10" s="96" t="s">
        <v>199</v>
      </c>
    </row>
    <row r="11" spans="1:7" ht="25.5" x14ac:dyDescent="0.25">
      <c r="A11" s="99">
        <v>7</v>
      </c>
      <c r="B11" s="136" t="s">
        <v>368</v>
      </c>
      <c r="C11" s="135" t="s">
        <v>371</v>
      </c>
      <c r="D11" s="103" t="s">
        <v>83</v>
      </c>
      <c r="E11" s="106">
        <f>E6</f>
        <v>30</v>
      </c>
      <c r="F11" s="96" t="s">
        <v>199</v>
      </c>
    </row>
    <row r="12" spans="1:7" ht="25.5" x14ac:dyDescent="0.25">
      <c r="A12" s="99">
        <v>8</v>
      </c>
      <c r="B12" s="136" t="s">
        <v>368</v>
      </c>
      <c r="C12" s="135" t="s">
        <v>372</v>
      </c>
      <c r="D12" s="103" t="s">
        <v>83</v>
      </c>
      <c r="E12" s="106">
        <f>E7</f>
        <v>6</v>
      </c>
      <c r="F12" s="96" t="s">
        <v>199</v>
      </c>
    </row>
    <row r="13" spans="1:7" x14ac:dyDescent="0.25">
      <c r="A13" s="99">
        <v>9</v>
      </c>
      <c r="B13" s="114" t="s">
        <v>94</v>
      </c>
      <c r="C13" s="115"/>
      <c r="D13" s="115" t="s">
        <v>78</v>
      </c>
      <c r="E13" s="115">
        <v>1</v>
      </c>
      <c r="F13" s="117"/>
    </row>
    <row r="14" spans="1:7" x14ac:dyDescent="0.25">
      <c r="A14" s="99">
        <v>10</v>
      </c>
      <c r="B14" s="108" t="s">
        <v>324</v>
      </c>
      <c r="C14" s="115"/>
      <c r="D14" s="115" t="s">
        <v>78</v>
      </c>
      <c r="E14" s="115">
        <v>1</v>
      </c>
      <c r="F14" s="117"/>
    </row>
    <row r="15" spans="1:7" ht="25.5" x14ac:dyDescent="0.25">
      <c r="A15" s="99">
        <v>11</v>
      </c>
      <c r="B15" s="102" t="s">
        <v>289</v>
      </c>
      <c r="C15" s="103" t="s">
        <v>325</v>
      </c>
      <c r="D15" s="103" t="s">
        <v>83</v>
      </c>
      <c r="E15" s="121">
        <v>7</v>
      </c>
      <c r="F15" s="103"/>
    </row>
    <row r="16" spans="1:7" ht="25.5" x14ac:dyDescent="0.25">
      <c r="A16" s="99">
        <v>12</v>
      </c>
      <c r="B16" s="102" t="s">
        <v>289</v>
      </c>
      <c r="C16" s="103" t="s">
        <v>326</v>
      </c>
      <c r="D16" s="103" t="s">
        <v>83</v>
      </c>
      <c r="E16" s="121">
        <v>2</v>
      </c>
      <c r="F16" s="103"/>
    </row>
    <row r="17" spans="1:6" ht="25.5" x14ac:dyDescent="0.25">
      <c r="A17" s="99">
        <v>13</v>
      </c>
      <c r="B17" s="102" t="s">
        <v>328</v>
      </c>
      <c r="C17" s="103"/>
      <c r="D17" s="103" t="s">
        <v>78</v>
      </c>
      <c r="E17" s="122">
        <v>1</v>
      </c>
      <c r="F17" s="103" t="s">
        <v>327</v>
      </c>
    </row>
    <row r="18" spans="1:6" ht="25.5" x14ac:dyDescent="0.25">
      <c r="A18" s="99">
        <v>14</v>
      </c>
      <c r="B18" s="108" t="s">
        <v>293</v>
      </c>
      <c r="C18" s="103"/>
      <c r="D18" s="103" t="s">
        <v>78</v>
      </c>
      <c r="E18" s="98">
        <v>1</v>
      </c>
      <c r="F18" s="94"/>
    </row>
    <row r="19" spans="1:6" x14ac:dyDescent="0.25">
      <c r="A19" s="99"/>
      <c r="B19" s="99"/>
      <c r="C19" s="99"/>
      <c r="D19" s="99"/>
      <c r="E19" s="110"/>
      <c r="F19" s="110"/>
    </row>
    <row r="20" spans="1:6" x14ac:dyDescent="0.25">
      <c r="A20" s="99"/>
      <c r="B20" s="97" t="s">
        <v>272</v>
      </c>
      <c r="C20" s="99"/>
      <c r="D20" s="99"/>
      <c r="E20" s="110"/>
      <c r="F20" s="110"/>
    </row>
    <row r="21" spans="1:6" x14ac:dyDescent="0.25">
      <c r="A21" s="99">
        <v>1</v>
      </c>
      <c r="B21" s="100" t="s">
        <v>273</v>
      </c>
      <c r="C21" s="99" t="s">
        <v>270</v>
      </c>
      <c r="D21" s="99" t="s">
        <v>80</v>
      </c>
      <c r="E21" s="105">
        <v>10</v>
      </c>
      <c r="F21" s="94"/>
    </row>
    <row r="22" spans="1:6" ht="25.5" x14ac:dyDescent="0.25">
      <c r="A22" s="99">
        <v>2</v>
      </c>
      <c r="B22" s="100" t="s">
        <v>274</v>
      </c>
      <c r="C22" s="99" t="s">
        <v>275</v>
      </c>
      <c r="D22" s="99" t="s">
        <v>78</v>
      </c>
      <c r="E22" s="105">
        <v>5</v>
      </c>
      <c r="F22" s="94" t="s">
        <v>276</v>
      </c>
    </row>
    <row r="23" spans="1:6" x14ac:dyDescent="0.25">
      <c r="A23" s="99">
        <v>3</v>
      </c>
      <c r="B23" s="100" t="s">
        <v>277</v>
      </c>
      <c r="C23" s="99" t="s">
        <v>278</v>
      </c>
      <c r="D23" s="99" t="s">
        <v>78</v>
      </c>
      <c r="E23" s="105">
        <v>5</v>
      </c>
      <c r="F23" s="94" t="s">
        <v>276</v>
      </c>
    </row>
    <row r="24" spans="1:6" x14ac:dyDescent="0.25">
      <c r="A24" s="99">
        <v>4</v>
      </c>
      <c r="B24" s="100" t="s">
        <v>279</v>
      </c>
      <c r="C24" s="99" t="s">
        <v>280</v>
      </c>
      <c r="D24" s="99" t="s">
        <v>78</v>
      </c>
      <c r="E24" s="105">
        <v>27</v>
      </c>
      <c r="F24" s="94" t="s">
        <v>276</v>
      </c>
    </row>
    <row r="25" spans="1:6" x14ac:dyDescent="0.25">
      <c r="A25" s="99">
        <v>5</v>
      </c>
      <c r="B25" s="100" t="s">
        <v>281</v>
      </c>
      <c r="C25" s="99"/>
      <c r="D25" s="99" t="s">
        <v>78</v>
      </c>
      <c r="E25" s="105">
        <v>27</v>
      </c>
      <c r="F25" s="94" t="s">
        <v>276</v>
      </c>
    </row>
    <row r="26" spans="1:6" x14ac:dyDescent="0.25">
      <c r="A26" s="99">
        <v>6</v>
      </c>
      <c r="B26" s="100" t="s">
        <v>282</v>
      </c>
      <c r="C26" s="99"/>
      <c r="D26" s="99" t="s">
        <v>78</v>
      </c>
      <c r="E26" s="105">
        <v>27</v>
      </c>
      <c r="F26" s="94" t="s">
        <v>276</v>
      </c>
    </row>
    <row r="27" spans="1:6" x14ac:dyDescent="0.25">
      <c r="A27" s="99">
        <v>7</v>
      </c>
      <c r="B27" s="100" t="s">
        <v>283</v>
      </c>
      <c r="C27" s="99"/>
      <c r="D27" s="99" t="s">
        <v>78</v>
      </c>
      <c r="E27" s="105">
        <v>5</v>
      </c>
      <c r="F27" s="93"/>
    </row>
    <row r="28" spans="1:6" x14ac:dyDescent="0.25">
      <c r="A28" s="99">
        <v>8</v>
      </c>
      <c r="B28" s="100" t="s">
        <v>284</v>
      </c>
      <c r="C28" s="99"/>
      <c r="D28" s="99" t="s">
        <v>78</v>
      </c>
      <c r="E28" s="105">
        <v>5</v>
      </c>
      <c r="F28" s="93"/>
    </row>
    <row r="29" spans="1:6" ht="25.5" x14ac:dyDescent="0.25">
      <c r="A29" s="99">
        <v>9</v>
      </c>
      <c r="B29" s="100" t="s">
        <v>285</v>
      </c>
      <c r="C29" s="99"/>
      <c r="D29" s="99" t="s">
        <v>78</v>
      </c>
      <c r="E29" s="105">
        <v>10</v>
      </c>
      <c r="F29" s="94" t="s">
        <v>276</v>
      </c>
    </row>
    <row r="30" spans="1:6" ht="25.5" x14ac:dyDescent="0.25">
      <c r="A30" s="99">
        <v>10</v>
      </c>
      <c r="B30" s="100" t="s">
        <v>286</v>
      </c>
      <c r="C30" s="99"/>
      <c r="D30" s="99" t="s">
        <v>78</v>
      </c>
      <c r="E30" s="105">
        <v>27</v>
      </c>
      <c r="F30" s="93"/>
    </row>
    <row r="31" spans="1:6" ht="25.5" x14ac:dyDescent="0.25">
      <c r="A31" s="99">
        <v>11</v>
      </c>
      <c r="B31" s="100" t="s">
        <v>329</v>
      </c>
      <c r="C31" s="99"/>
      <c r="D31" s="99" t="s">
        <v>78</v>
      </c>
      <c r="E31" s="105">
        <v>3</v>
      </c>
      <c r="F31" s="94" t="s">
        <v>276</v>
      </c>
    </row>
    <row r="32" spans="1:6" ht="25.5" x14ac:dyDescent="0.25">
      <c r="A32" s="99">
        <v>12</v>
      </c>
      <c r="B32" s="100" t="s">
        <v>330</v>
      </c>
      <c r="C32" s="99"/>
      <c r="D32" s="99" t="s">
        <v>78</v>
      </c>
      <c r="E32" s="105">
        <v>2</v>
      </c>
      <c r="F32" s="94" t="s">
        <v>276</v>
      </c>
    </row>
    <row r="33" spans="1:6" ht="25.5" x14ac:dyDescent="0.25">
      <c r="A33" s="99">
        <v>13</v>
      </c>
      <c r="B33" s="100" t="s">
        <v>287</v>
      </c>
      <c r="C33" s="99" t="s">
        <v>288</v>
      </c>
      <c r="D33" s="99" t="s">
        <v>78</v>
      </c>
      <c r="E33" s="101">
        <v>5</v>
      </c>
      <c r="F33" s="94" t="s">
        <v>276</v>
      </c>
    </row>
    <row r="34" spans="1:6" x14ac:dyDescent="0.25">
      <c r="A34" s="99">
        <v>14</v>
      </c>
      <c r="B34" s="114" t="s">
        <v>312</v>
      </c>
      <c r="C34" s="99" t="s">
        <v>311</v>
      </c>
      <c r="D34" s="99" t="s">
        <v>83</v>
      </c>
      <c r="E34" s="120">
        <v>840</v>
      </c>
      <c r="F34" s="110" t="s">
        <v>310</v>
      </c>
    </row>
    <row r="35" spans="1:6" x14ac:dyDescent="0.25">
      <c r="A35" s="99">
        <v>15</v>
      </c>
      <c r="B35" s="114" t="s">
        <v>312</v>
      </c>
      <c r="C35" s="99" t="s">
        <v>314</v>
      </c>
      <c r="D35" s="99" t="s">
        <v>83</v>
      </c>
      <c r="E35" s="120">
        <v>720</v>
      </c>
      <c r="F35" s="110" t="s">
        <v>310</v>
      </c>
    </row>
    <row r="36" spans="1:6" x14ac:dyDescent="0.25">
      <c r="A36" s="99">
        <v>16</v>
      </c>
      <c r="B36" s="114" t="s">
        <v>312</v>
      </c>
      <c r="C36" s="99" t="s">
        <v>313</v>
      </c>
      <c r="D36" s="99" t="s">
        <v>83</v>
      </c>
      <c r="E36" s="120">
        <v>1560</v>
      </c>
      <c r="F36" s="110" t="s">
        <v>310</v>
      </c>
    </row>
    <row r="37" spans="1:6" x14ac:dyDescent="0.25">
      <c r="A37" s="99">
        <v>17</v>
      </c>
      <c r="B37" s="114" t="s">
        <v>316</v>
      </c>
      <c r="C37" s="99"/>
      <c r="D37" s="115" t="s">
        <v>78</v>
      </c>
      <c r="E37" s="118">
        <v>1</v>
      </c>
      <c r="F37" s="110" t="s">
        <v>310</v>
      </c>
    </row>
    <row r="38" spans="1:6" x14ac:dyDescent="0.25">
      <c r="A38" s="99">
        <v>18</v>
      </c>
      <c r="B38" s="114" t="s">
        <v>315</v>
      </c>
      <c r="C38" s="115"/>
      <c r="D38" s="115" t="s">
        <v>78</v>
      </c>
      <c r="E38" s="118">
        <v>1</v>
      </c>
      <c r="F38" s="110" t="s">
        <v>310</v>
      </c>
    </row>
    <row r="39" spans="1:6" ht="25.5" x14ac:dyDescent="0.25">
      <c r="A39" s="99">
        <v>19</v>
      </c>
      <c r="B39" s="107" t="s">
        <v>320</v>
      </c>
      <c r="C39" s="119" t="s">
        <v>319</v>
      </c>
      <c r="D39" s="103" t="s">
        <v>83</v>
      </c>
      <c r="E39" s="116">
        <v>133</v>
      </c>
      <c r="F39" s="94" t="s">
        <v>271</v>
      </c>
    </row>
    <row r="40" spans="1:6" ht="25.5" x14ac:dyDescent="0.25">
      <c r="A40" s="99">
        <v>20</v>
      </c>
      <c r="B40" s="107" t="s">
        <v>321</v>
      </c>
      <c r="C40" s="119" t="s">
        <v>319</v>
      </c>
      <c r="D40" s="103" t="s">
        <v>83</v>
      </c>
      <c r="E40" s="116">
        <v>168</v>
      </c>
      <c r="F40" s="94" t="s">
        <v>271</v>
      </c>
    </row>
    <row r="41" spans="1:6" ht="25.5" x14ac:dyDescent="0.25">
      <c r="A41" s="99">
        <v>21</v>
      </c>
      <c r="B41" s="107" t="s">
        <v>322</v>
      </c>
      <c r="C41" s="119" t="s">
        <v>323</v>
      </c>
      <c r="D41" s="103" t="s">
        <v>83</v>
      </c>
      <c r="E41" s="116">
        <v>342</v>
      </c>
      <c r="F41" s="94" t="s">
        <v>271</v>
      </c>
    </row>
    <row r="42" spans="1:6" ht="25.5" x14ac:dyDescent="0.25">
      <c r="A42" s="99">
        <v>22</v>
      </c>
      <c r="B42" s="102" t="s">
        <v>339</v>
      </c>
      <c r="C42" s="103" t="s">
        <v>270</v>
      </c>
      <c r="D42" s="103" t="s">
        <v>83</v>
      </c>
      <c r="E42" s="121">
        <v>1</v>
      </c>
      <c r="F42" s="103"/>
    </row>
    <row r="43" spans="1:6" ht="38.25" x14ac:dyDescent="0.25">
      <c r="A43" s="99">
        <v>23</v>
      </c>
      <c r="B43" s="102" t="s">
        <v>334</v>
      </c>
      <c r="C43" s="103"/>
      <c r="D43" s="103" t="s">
        <v>333</v>
      </c>
      <c r="E43" s="122">
        <f>56+27</f>
        <v>83</v>
      </c>
      <c r="F43" s="94" t="s">
        <v>276</v>
      </c>
    </row>
    <row r="44" spans="1:6" ht="25.5" x14ac:dyDescent="0.25">
      <c r="A44" s="99">
        <v>24</v>
      </c>
      <c r="B44" s="102" t="s">
        <v>335</v>
      </c>
      <c r="C44" s="103"/>
      <c r="D44" s="103" t="s">
        <v>83</v>
      </c>
      <c r="E44" s="121">
        <v>500</v>
      </c>
      <c r="F44" s="94" t="s">
        <v>276</v>
      </c>
    </row>
    <row r="45" spans="1:6" ht="38.25" x14ac:dyDescent="0.25">
      <c r="A45" s="99">
        <v>25</v>
      </c>
      <c r="B45" s="102" t="s">
        <v>332</v>
      </c>
      <c r="C45" s="103"/>
      <c r="D45" s="103" t="s">
        <v>290</v>
      </c>
      <c r="E45" s="121">
        <v>255</v>
      </c>
      <c r="F45" s="94" t="s">
        <v>276</v>
      </c>
    </row>
    <row r="46" spans="1:6" ht="25.5" x14ac:dyDescent="0.25">
      <c r="A46" s="99">
        <v>26</v>
      </c>
      <c r="B46" s="102" t="s">
        <v>331</v>
      </c>
      <c r="C46" s="103"/>
      <c r="D46" s="103" t="s">
        <v>80</v>
      </c>
      <c r="E46" s="121">
        <v>92</v>
      </c>
      <c r="F46" s="94" t="s">
        <v>276</v>
      </c>
    </row>
    <row r="47" spans="1:6" ht="25.5" x14ac:dyDescent="0.25">
      <c r="A47" s="99">
        <v>27</v>
      </c>
      <c r="B47" s="102" t="s">
        <v>336</v>
      </c>
      <c r="C47" s="103"/>
      <c r="D47" s="103" t="s">
        <v>83</v>
      </c>
      <c r="E47" s="121">
        <v>500</v>
      </c>
      <c r="F47" s="94" t="s">
        <v>276</v>
      </c>
    </row>
    <row r="48" spans="1:6" x14ac:dyDescent="0.25">
      <c r="A48" s="99">
        <v>28</v>
      </c>
      <c r="B48" s="102" t="s">
        <v>337</v>
      </c>
      <c r="C48" s="103"/>
      <c r="D48" s="103" t="s">
        <v>83</v>
      </c>
      <c r="E48" s="121">
        <v>250</v>
      </c>
      <c r="F48" s="94" t="s">
        <v>276</v>
      </c>
    </row>
    <row r="49" spans="1:6" ht="25.5" x14ac:dyDescent="0.25">
      <c r="A49" s="99">
        <v>29</v>
      </c>
      <c r="B49" s="102" t="s">
        <v>338</v>
      </c>
      <c r="C49" s="103"/>
      <c r="D49" s="103" t="s">
        <v>80</v>
      </c>
      <c r="E49" s="122">
        <v>65</v>
      </c>
      <c r="F49" s="94" t="s">
        <v>276</v>
      </c>
    </row>
    <row r="50" spans="1:6" x14ac:dyDescent="0.25">
      <c r="A50" s="99">
        <v>30</v>
      </c>
      <c r="B50" s="102" t="s">
        <v>291</v>
      </c>
      <c r="C50" s="103"/>
      <c r="D50" s="103" t="s">
        <v>83</v>
      </c>
      <c r="E50" s="109">
        <v>72</v>
      </c>
      <c r="F50" s="95" t="s">
        <v>340</v>
      </c>
    </row>
    <row r="51" spans="1:6" x14ac:dyDescent="0.25">
      <c r="A51" s="99">
        <v>31</v>
      </c>
      <c r="B51" s="102" t="s">
        <v>292</v>
      </c>
      <c r="C51" s="103"/>
      <c r="D51" s="103" t="s">
        <v>78</v>
      </c>
      <c r="E51" s="104">
        <v>1</v>
      </c>
      <c r="F51" s="93"/>
    </row>
    <row r="52" spans="1:6" x14ac:dyDescent="0.25">
      <c r="A52" s="93"/>
      <c r="B52" s="93"/>
      <c r="C52" s="93"/>
      <c r="D52" s="93"/>
      <c r="E52" s="93"/>
      <c r="F52" s="93"/>
    </row>
  </sheetData>
  <mergeCells count="6">
    <mergeCell ref="F2:F3"/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&amp;CVilces sākumskolas ēkas vienkāršota atjaunošana.</oddHead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L25" sqref="L25"/>
    </sheetView>
  </sheetViews>
  <sheetFormatPr defaultRowHeight="15" x14ac:dyDescent="0.25"/>
  <cols>
    <col min="1" max="1" width="3.85546875" customWidth="1"/>
    <col min="2" max="2" width="45.140625" customWidth="1"/>
    <col min="3" max="3" width="13.7109375" customWidth="1"/>
    <col min="4" max="4" width="5.7109375" customWidth="1"/>
    <col min="5" max="5" width="7.28515625" bestFit="1" customWidth="1"/>
    <col min="6" max="6" width="11.140625" customWidth="1"/>
  </cols>
  <sheetData>
    <row r="1" spans="1:6" s="61" customFormat="1" ht="33" customHeight="1" x14ac:dyDescent="0.2">
      <c r="A1" s="176" t="s">
        <v>262</v>
      </c>
      <c r="B1" s="177"/>
      <c r="C1" s="177"/>
      <c r="D1" s="177"/>
      <c r="E1" s="177"/>
      <c r="F1" s="177"/>
    </row>
    <row r="2" spans="1:6" s="61" customFormat="1" ht="12.75" x14ac:dyDescent="0.2">
      <c r="A2" s="174" t="s">
        <v>73</v>
      </c>
      <c r="B2" s="175" t="s">
        <v>74</v>
      </c>
      <c r="C2" s="175" t="s">
        <v>75</v>
      </c>
      <c r="D2" s="175" t="s">
        <v>76</v>
      </c>
      <c r="E2" s="172" t="s">
        <v>77</v>
      </c>
      <c r="F2" s="172" t="s">
        <v>16</v>
      </c>
    </row>
    <row r="3" spans="1:6" s="61" customFormat="1" ht="28.5" customHeight="1" x14ac:dyDescent="0.2">
      <c r="A3" s="175"/>
      <c r="B3" s="175"/>
      <c r="C3" s="175"/>
      <c r="D3" s="175"/>
      <c r="E3" s="173"/>
      <c r="F3" s="173"/>
    </row>
    <row r="4" spans="1:6" s="61" customFormat="1" ht="28.5" customHeight="1" x14ac:dyDescent="0.2">
      <c r="A4" s="71">
        <v>1</v>
      </c>
      <c r="B4" s="86" t="s">
        <v>341</v>
      </c>
      <c r="C4" s="71" t="s">
        <v>343</v>
      </c>
      <c r="D4" s="71" t="s">
        <v>80</v>
      </c>
      <c r="E4" s="84">
        <v>3</v>
      </c>
      <c r="F4" s="84" t="s">
        <v>342</v>
      </c>
    </row>
    <row r="5" spans="1:6" s="61" customFormat="1" ht="28.5" customHeight="1" x14ac:dyDescent="0.2">
      <c r="A5" s="71">
        <v>2</v>
      </c>
      <c r="B5" s="86" t="s">
        <v>344</v>
      </c>
      <c r="C5" s="71" t="s">
        <v>345</v>
      </c>
      <c r="D5" s="71" t="s">
        <v>80</v>
      </c>
      <c r="E5" s="84">
        <v>3</v>
      </c>
      <c r="F5" s="84" t="s">
        <v>346</v>
      </c>
    </row>
    <row r="6" spans="1:6" s="61" customFormat="1" ht="38.25" x14ac:dyDescent="0.2">
      <c r="A6" s="71">
        <v>3</v>
      </c>
      <c r="B6" s="86" t="s">
        <v>347</v>
      </c>
      <c r="C6" s="71"/>
      <c r="D6" s="71" t="s">
        <v>78</v>
      </c>
      <c r="E6" s="84">
        <v>3</v>
      </c>
      <c r="F6" s="71" t="s">
        <v>348</v>
      </c>
    </row>
    <row r="7" spans="1:6" ht="25.5" x14ac:dyDescent="0.25">
      <c r="A7" s="99">
        <v>4</v>
      </c>
      <c r="B7" s="114" t="s">
        <v>294</v>
      </c>
      <c r="C7" s="99" t="s">
        <v>304</v>
      </c>
      <c r="D7" s="99" t="s">
        <v>83</v>
      </c>
      <c r="E7" s="120">
        <v>118</v>
      </c>
      <c r="F7" s="103" t="s">
        <v>306</v>
      </c>
    </row>
    <row r="8" spans="1:6" ht="25.5" x14ac:dyDescent="0.25">
      <c r="A8" s="71">
        <v>5</v>
      </c>
      <c r="B8" s="114" t="s">
        <v>296</v>
      </c>
      <c r="C8" s="99" t="s">
        <v>305</v>
      </c>
      <c r="D8" s="115" t="s">
        <v>83</v>
      </c>
      <c r="E8" s="120">
        <f>(2.2+2.5+8.6+2.2+2.5+1.7+6.1+4.2)*2*1.1</f>
        <v>66</v>
      </c>
      <c r="F8" s="103" t="s">
        <v>306</v>
      </c>
    </row>
    <row r="9" spans="1:6" ht="25.5" x14ac:dyDescent="0.25">
      <c r="A9" s="71">
        <v>6</v>
      </c>
      <c r="B9" s="114" t="s">
        <v>297</v>
      </c>
      <c r="C9" s="99" t="s">
        <v>307</v>
      </c>
      <c r="D9" s="115" t="s">
        <v>83</v>
      </c>
      <c r="E9" s="116">
        <f>(5.1+1.7+2.5+1.2+2.7)*2*1.1</f>
        <v>29.04</v>
      </c>
      <c r="F9" s="103" t="s">
        <v>306</v>
      </c>
    </row>
    <row r="10" spans="1:6" ht="25.5" x14ac:dyDescent="0.25">
      <c r="A10" s="71">
        <v>7</v>
      </c>
      <c r="B10" s="114" t="s">
        <v>298</v>
      </c>
      <c r="C10" s="99" t="s">
        <v>308</v>
      </c>
      <c r="D10" s="115" t="s">
        <v>83</v>
      </c>
      <c r="E10" s="116">
        <v>41</v>
      </c>
      <c r="F10" s="103" t="s">
        <v>306</v>
      </c>
    </row>
    <row r="11" spans="1:6" ht="25.5" x14ac:dyDescent="0.25">
      <c r="A11" s="99">
        <v>8</v>
      </c>
      <c r="B11" s="114" t="s">
        <v>301</v>
      </c>
      <c r="C11" s="99" t="s">
        <v>317</v>
      </c>
      <c r="D11" s="115" t="s">
        <v>83</v>
      </c>
      <c r="E11" s="116">
        <v>5</v>
      </c>
      <c r="F11" s="103" t="s">
        <v>306</v>
      </c>
    </row>
    <row r="12" spans="1:6" ht="25.5" x14ac:dyDescent="0.25">
      <c r="A12" s="71">
        <v>9</v>
      </c>
      <c r="B12" s="114" t="s">
        <v>299</v>
      </c>
      <c r="C12" s="115" t="s">
        <v>309</v>
      </c>
      <c r="D12" s="115" t="s">
        <v>78</v>
      </c>
      <c r="E12" s="115">
        <v>1</v>
      </c>
      <c r="F12" s="103" t="s">
        <v>306</v>
      </c>
    </row>
    <row r="13" spans="1:6" ht="25.5" x14ac:dyDescent="0.25">
      <c r="A13" s="71">
        <v>10</v>
      </c>
      <c r="B13" s="114" t="s">
        <v>300</v>
      </c>
      <c r="C13" s="115" t="s">
        <v>309</v>
      </c>
      <c r="D13" s="115" t="s">
        <v>78</v>
      </c>
      <c r="E13" s="118">
        <v>1</v>
      </c>
      <c r="F13" s="103" t="s">
        <v>306</v>
      </c>
    </row>
    <row r="14" spans="1:6" ht="25.5" x14ac:dyDescent="0.25">
      <c r="A14" s="71">
        <v>11</v>
      </c>
      <c r="B14" s="136" t="s">
        <v>368</v>
      </c>
      <c r="C14" s="135" t="s">
        <v>373</v>
      </c>
      <c r="D14" s="103" t="s">
        <v>83</v>
      </c>
      <c r="E14" s="116">
        <f>E7</f>
        <v>118</v>
      </c>
      <c r="F14" s="96" t="s">
        <v>199</v>
      </c>
    </row>
    <row r="15" spans="1:6" ht="25.5" x14ac:dyDescent="0.25">
      <c r="A15" s="99">
        <v>12</v>
      </c>
      <c r="B15" s="136" t="s">
        <v>368</v>
      </c>
      <c r="C15" s="135" t="s">
        <v>369</v>
      </c>
      <c r="D15" s="103" t="s">
        <v>83</v>
      </c>
      <c r="E15" s="116">
        <f>E8</f>
        <v>66</v>
      </c>
      <c r="F15" s="96" t="s">
        <v>199</v>
      </c>
    </row>
    <row r="16" spans="1:6" ht="25.5" x14ac:dyDescent="0.25">
      <c r="A16" s="71">
        <v>13</v>
      </c>
      <c r="B16" s="136" t="s">
        <v>368</v>
      </c>
      <c r="C16" s="135" t="s">
        <v>370</v>
      </c>
      <c r="D16" s="103" t="s">
        <v>83</v>
      </c>
      <c r="E16" s="106">
        <f>E9</f>
        <v>29.04</v>
      </c>
      <c r="F16" s="96" t="s">
        <v>199</v>
      </c>
    </row>
    <row r="17" spans="1:6" ht="25.5" x14ac:dyDescent="0.25">
      <c r="A17" s="71">
        <v>14</v>
      </c>
      <c r="B17" s="136" t="s">
        <v>368</v>
      </c>
      <c r="C17" s="135" t="s">
        <v>371</v>
      </c>
      <c r="D17" s="103" t="s">
        <v>83</v>
      </c>
      <c r="E17" s="106">
        <f>E10</f>
        <v>41</v>
      </c>
      <c r="F17" s="96" t="s">
        <v>199</v>
      </c>
    </row>
    <row r="18" spans="1:6" ht="25.5" x14ac:dyDescent="0.25">
      <c r="A18" s="71">
        <v>15</v>
      </c>
      <c r="B18" s="136" t="s">
        <v>368</v>
      </c>
      <c r="C18" s="135" t="s">
        <v>372</v>
      </c>
      <c r="D18" s="103" t="s">
        <v>83</v>
      </c>
      <c r="E18" s="106">
        <f>E11</f>
        <v>5</v>
      </c>
      <c r="F18" s="96" t="s">
        <v>199</v>
      </c>
    </row>
    <row r="19" spans="1:6" x14ac:dyDescent="0.25">
      <c r="A19" s="99">
        <v>16</v>
      </c>
      <c r="B19" s="123" t="s">
        <v>266</v>
      </c>
      <c r="C19" s="124" t="s">
        <v>268</v>
      </c>
      <c r="D19" s="103" t="s">
        <v>80</v>
      </c>
      <c r="E19" s="124">
        <v>6</v>
      </c>
      <c r="F19" s="124"/>
    </row>
    <row r="20" spans="1:6" x14ac:dyDescent="0.25">
      <c r="A20" s="71">
        <v>17</v>
      </c>
      <c r="B20" s="123" t="s">
        <v>266</v>
      </c>
      <c r="C20" s="124" t="s">
        <v>269</v>
      </c>
      <c r="D20" s="103" t="s">
        <v>80</v>
      </c>
      <c r="E20" s="124">
        <v>8</v>
      </c>
      <c r="F20" s="124"/>
    </row>
    <row r="21" spans="1:6" x14ac:dyDescent="0.25">
      <c r="A21" s="71">
        <v>18</v>
      </c>
      <c r="B21" s="123" t="s">
        <v>266</v>
      </c>
      <c r="C21" s="124" t="s">
        <v>270</v>
      </c>
      <c r="D21" s="103" t="s">
        <v>80</v>
      </c>
      <c r="E21" s="124">
        <v>2</v>
      </c>
      <c r="F21" s="124"/>
    </row>
    <row r="22" spans="1:6" x14ac:dyDescent="0.25">
      <c r="A22" s="99">
        <v>19</v>
      </c>
      <c r="B22" s="123" t="s">
        <v>349</v>
      </c>
      <c r="C22" s="124" t="s">
        <v>268</v>
      </c>
      <c r="D22" s="103" t="s">
        <v>80</v>
      </c>
      <c r="E22" s="124">
        <v>8</v>
      </c>
      <c r="F22" s="124"/>
    </row>
    <row r="23" spans="1:6" x14ac:dyDescent="0.25">
      <c r="A23" s="71">
        <v>20</v>
      </c>
      <c r="B23" s="123" t="s">
        <v>350</v>
      </c>
      <c r="C23" s="124"/>
      <c r="D23" s="124" t="s">
        <v>78</v>
      </c>
      <c r="E23" s="124">
        <v>1</v>
      </c>
      <c r="F23" s="124"/>
    </row>
    <row r="24" spans="1:6" x14ac:dyDescent="0.25">
      <c r="A24" s="71">
        <v>21</v>
      </c>
      <c r="B24" s="123" t="s">
        <v>94</v>
      </c>
      <c r="C24" s="124"/>
      <c r="D24" s="124" t="s">
        <v>78</v>
      </c>
      <c r="E24" s="124">
        <v>1</v>
      </c>
      <c r="F24" s="124"/>
    </row>
    <row r="25" spans="1:6" ht="25.5" x14ac:dyDescent="0.25">
      <c r="A25" s="99">
        <v>22</v>
      </c>
      <c r="B25" s="108" t="s">
        <v>293</v>
      </c>
      <c r="C25" s="103"/>
      <c r="D25" s="103" t="s">
        <v>102</v>
      </c>
      <c r="E25" s="98">
        <v>16</v>
      </c>
      <c r="F25" s="94"/>
    </row>
    <row r="26" spans="1:6" ht="25.5" x14ac:dyDescent="0.25">
      <c r="A26" s="71">
        <v>23</v>
      </c>
      <c r="B26" s="108" t="s">
        <v>351</v>
      </c>
      <c r="C26" s="103"/>
      <c r="D26" s="103" t="s">
        <v>102</v>
      </c>
      <c r="E26" s="98">
        <v>12</v>
      </c>
      <c r="F26" s="94"/>
    </row>
    <row r="27" spans="1:6" ht="25.5" x14ac:dyDescent="0.25">
      <c r="A27" s="71">
        <v>24</v>
      </c>
      <c r="B27" s="102" t="s">
        <v>289</v>
      </c>
      <c r="C27" s="103" t="s">
        <v>325</v>
      </c>
      <c r="D27" s="103" t="s">
        <v>83</v>
      </c>
      <c r="E27" s="121">
        <v>9</v>
      </c>
      <c r="F27" s="103"/>
    </row>
    <row r="28" spans="1:6" ht="25.5" x14ac:dyDescent="0.25">
      <c r="A28" s="99">
        <v>25</v>
      </c>
      <c r="B28" s="102" t="s">
        <v>289</v>
      </c>
      <c r="C28" s="103" t="s">
        <v>326</v>
      </c>
      <c r="D28" s="103" t="s">
        <v>83</v>
      </c>
      <c r="E28" s="121">
        <v>6</v>
      </c>
      <c r="F28" s="103"/>
    </row>
    <row r="29" spans="1:6" ht="25.5" x14ac:dyDescent="0.25">
      <c r="A29" s="71">
        <v>26</v>
      </c>
      <c r="B29" s="102" t="s">
        <v>328</v>
      </c>
      <c r="C29" s="103"/>
      <c r="D29" s="103" t="s">
        <v>78</v>
      </c>
      <c r="E29" s="122">
        <v>1</v>
      </c>
      <c r="F29" s="103" t="s">
        <v>327</v>
      </c>
    </row>
    <row r="30" spans="1:6" x14ac:dyDescent="0.25">
      <c r="A30" s="9"/>
      <c r="B30" s="9"/>
      <c r="C30" s="9"/>
      <c r="D30" s="9"/>
      <c r="E30" s="9"/>
      <c r="F30" s="9"/>
    </row>
    <row r="31" spans="1:6" x14ac:dyDescent="0.25">
      <c r="A31" s="9"/>
      <c r="B31" s="9"/>
      <c r="C31" s="9"/>
      <c r="D31" s="9"/>
      <c r="E31" s="9"/>
      <c r="F31" s="9"/>
    </row>
  </sheetData>
  <mergeCells count="7">
    <mergeCell ref="A1:F1"/>
    <mergeCell ref="A2:A3"/>
    <mergeCell ref="B2:B3"/>
    <mergeCell ref="C2:C3"/>
    <mergeCell ref="D2:D3"/>
    <mergeCell ref="E2:E3"/>
    <mergeCell ref="F2:F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&amp;CVilces sākumskolas ēkas vienkāršota atjaunošana.</oddHeader>
    <oddFooter>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A16" workbookViewId="0">
      <selection activeCell="B4" sqref="B4:F4"/>
    </sheetView>
  </sheetViews>
  <sheetFormatPr defaultRowHeight="15" x14ac:dyDescent="0.25"/>
  <cols>
    <col min="1" max="1" width="4" customWidth="1"/>
    <col min="2" max="2" width="44.85546875" customWidth="1"/>
    <col min="3" max="3" width="13.85546875" customWidth="1"/>
    <col min="4" max="4" width="5.85546875" customWidth="1"/>
    <col min="5" max="5" width="7.28515625" bestFit="1" customWidth="1"/>
    <col min="6" max="6" width="11.140625" customWidth="1"/>
  </cols>
  <sheetData>
    <row r="1" spans="1:6" s="61" customFormat="1" ht="33.75" customHeight="1" x14ac:dyDescent="0.2">
      <c r="A1" s="176" t="s">
        <v>263</v>
      </c>
      <c r="B1" s="177"/>
      <c r="C1" s="177"/>
      <c r="D1" s="177"/>
      <c r="E1" s="177"/>
      <c r="F1" s="177"/>
    </row>
    <row r="2" spans="1:6" s="61" customFormat="1" ht="12.75" x14ac:dyDescent="0.2">
      <c r="A2" s="174" t="s">
        <v>73</v>
      </c>
      <c r="B2" s="175" t="s">
        <v>74</v>
      </c>
      <c r="C2" s="175" t="s">
        <v>75</v>
      </c>
      <c r="D2" s="175" t="s">
        <v>76</v>
      </c>
      <c r="E2" s="172" t="s">
        <v>77</v>
      </c>
      <c r="F2" s="172" t="s">
        <v>16</v>
      </c>
    </row>
    <row r="3" spans="1:6" s="61" customFormat="1" ht="29.25" customHeight="1" x14ac:dyDescent="0.2">
      <c r="A3" s="175"/>
      <c r="B3" s="175"/>
      <c r="C3" s="175"/>
      <c r="D3" s="175"/>
      <c r="E3" s="173"/>
      <c r="F3" s="173"/>
    </row>
    <row r="4" spans="1:6" ht="25.5" x14ac:dyDescent="0.25">
      <c r="A4" s="99">
        <v>1</v>
      </c>
      <c r="B4" s="114" t="s">
        <v>294</v>
      </c>
      <c r="C4" s="99" t="s">
        <v>304</v>
      </c>
      <c r="D4" s="99" t="s">
        <v>83</v>
      </c>
      <c r="E4" s="120">
        <v>130</v>
      </c>
      <c r="F4" s="103" t="s">
        <v>306</v>
      </c>
    </row>
    <row r="5" spans="1:6" ht="25.5" x14ac:dyDescent="0.25">
      <c r="A5" s="99">
        <v>2</v>
      </c>
      <c r="B5" s="114" t="s">
        <v>295</v>
      </c>
      <c r="C5" s="99" t="s">
        <v>303</v>
      </c>
      <c r="D5" s="99" t="s">
        <v>83</v>
      </c>
      <c r="E5" s="120">
        <v>12</v>
      </c>
      <c r="F5" s="103" t="s">
        <v>306</v>
      </c>
    </row>
    <row r="6" spans="1:6" ht="25.5" x14ac:dyDescent="0.25">
      <c r="A6" s="99">
        <v>3</v>
      </c>
      <c r="B6" s="114" t="s">
        <v>296</v>
      </c>
      <c r="C6" s="99" t="s">
        <v>305</v>
      </c>
      <c r="D6" s="115" t="s">
        <v>83</v>
      </c>
      <c r="E6" s="116">
        <v>160</v>
      </c>
      <c r="F6" s="103" t="s">
        <v>306</v>
      </c>
    </row>
    <row r="7" spans="1:6" ht="25.5" x14ac:dyDescent="0.25">
      <c r="A7" s="99">
        <v>4</v>
      </c>
      <c r="B7" s="114" t="s">
        <v>297</v>
      </c>
      <c r="C7" s="99" t="s">
        <v>307</v>
      </c>
      <c r="D7" s="115" t="s">
        <v>83</v>
      </c>
      <c r="E7" s="116">
        <f>(10+3+4.9+1.1+2.8)*2*1.1</f>
        <v>47.960000000000008</v>
      </c>
      <c r="F7" s="103" t="s">
        <v>306</v>
      </c>
    </row>
    <row r="8" spans="1:6" ht="25.5" x14ac:dyDescent="0.25">
      <c r="A8" s="99">
        <v>5</v>
      </c>
      <c r="B8" s="114" t="s">
        <v>298</v>
      </c>
      <c r="C8" s="99" t="s">
        <v>308</v>
      </c>
      <c r="D8" s="115" t="s">
        <v>83</v>
      </c>
      <c r="E8" s="116">
        <v>85</v>
      </c>
      <c r="F8" s="103" t="s">
        <v>306</v>
      </c>
    </row>
    <row r="9" spans="1:6" ht="25.5" x14ac:dyDescent="0.25">
      <c r="A9" s="99">
        <v>6</v>
      </c>
      <c r="B9" s="114" t="s">
        <v>302</v>
      </c>
      <c r="C9" s="99" t="s">
        <v>318</v>
      </c>
      <c r="D9" s="115" t="s">
        <v>83</v>
      </c>
      <c r="E9" s="116">
        <v>4</v>
      </c>
      <c r="F9" s="103" t="s">
        <v>306</v>
      </c>
    </row>
    <row r="10" spans="1:6" ht="25.5" x14ac:dyDescent="0.25">
      <c r="A10" s="99">
        <v>7</v>
      </c>
      <c r="B10" s="114" t="s">
        <v>299</v>
      </c>
      <c r="C10" s="115" t="s">
        <v>309</v>
      </c>
      <c r="D10" s="115" t="s">
        <v>78</v>
      </c>
      <c r="E10" s="115">
        <v>1</v>
      </c>
      <c r="F10" s="103" t="s">
        <v>306</v>
      </c>
    </row>
    <row r="11" spans="1:6" ht="25.5" x14ac:dyDescent="0.25">
      <c r="A11" s="99">
        <v>8</v>
      </c>
      <c r="B11" s="114" t="s">
        <v>300</v>
      </c>
      <c r="C11" s="115" t="s">
        <v>309</v>
      </c>
      <c r="D11" s="115" t="s">
        <v>78</v>
      </c>
      <c r="E11" s="118">
        <v>1</v>
      </c>
      <c r="F11" s="103" t="s">
        <v>306</v>
      </c>
    </row>
    <row r="12" spans="1:6" ht="25.5" x14ac:dyDescent="0.25">
      <c r="A12" s="99">
        <v>9</v>
      </c>
      <c r="B12" s="136" t="s">
        <v>368</v>
      </c>
      <c r="C12" s="135" t="s">
        <v>373</v>
      </c>
      <c r="D12" s="134" t="s">
        <v>83</v>
      </c>
      <c r="E12" s="116">
        <f>E4</f>
        <v>130</v>
      </c>
      <c r="F12" s="103" t="s">
        <v>199</v>
      </c>
    </row>
    <row r="13" spans="1:6" ht="25.5" x14ac:dyDescent="0.25">
      <c r="A13" s="99">
        <v>10</v>
      </c>
      <c r="B13" s="136" t="s">
        <v>368</v>
      </c>
      <c r="C13" s="135" t="s">
        <v>374</v>
      </c>
      <c r="D13" s="134" t="s">
        <v>83</v>
      </c>
      <c r="E13" s="116">
        <f t="shared" ref="E13:E17" si="0">E5</f>
        <v>12</v>
      </c>
      <c r="F13" s="103" t="s">
        <v>199</v>
      </c>
    </row>
    <row r="14" spans="1:6" ht="25.5" x14ac:dyDescent="0.25">
      <c r="A14" s="99">
        <v>11</v>
      </c>
      <c r="B14" s="136" t="s">
        <v>368</v>
      </c>
      <c r="C14" s="135" t="s">
        <v>369</v>
      </c>
      <c r="D14" s="103" t="s">
        <v>83</v>
      </c>
      <c r="E14" s="116">
        <f t="shared" si="0"/>
        <v>160</v>
      </c>
      <c r="F14" s="103" t="s">
        <v>199</v>
      </c>
    </row>
    <row r="15" spans="1:6" ht="25.5" x14ac:dyDescent="0.25">
      <c r="A15" s="99">
        <v>12</v>
      </c>
      <c r="B15" s="136" t="s">
        <v>368</v>
      </c>
      <c r="C15" s="135" t="s">
        <v>370</v>
      </c>
      <c r="D15" s="103" t="s">
        <v>83</v>
      </c>
      <c r="E15" s="116">
        <f t="shared" si="0"/>
        <v>47.960000000000008</v>
      </c>
      <c r="F15" s="103" t="s">
        <v>199</v>
      </c>
    </row>
    <row r="16" spans="1:6" ht="25.5" x14ac:dyDescent="0.25">
      <c r="A16" s="99">
        <v>13</v>
      </c>
      <c r="B16" s="136" t="s">
        <v>368</v>
      </c>
      <c r="C16" s="135" t="s">
        <v>371</v>
      </c>
      <c r="D16" s="103" t="s">
        <v>83</v>
      </c>
      <c r="E16" s="116">
        <f t="shared" si="0"/>
        <v>85</v>
      </c>
      <c r="F16" s="103" t="s">
        <v>199</v>
      </c>
    </row>
    <row r="17" spans="1:6" ht="25.5" x14ac:dyDescent="0.25">
      <c r="A17" s="99">
        <v>14</v>
      </c>
      <c r="B17" s="136" t="s">
        <v>368</v>
      </c>
      <c r="C17" s="135" t="s">
        <v>375</v>
      </c>
      <c r="D17" s="103" t="s">
        <v>83</v>
      </c>
      <c r="E17" s="116">
        <f t="shared" si="0"/>
        <v>4</v>
      </c>
      <c r="F17" s="103" t="s">
        <v>199</v>
      </c>
    </row>
    <row r="18" spans="1:6" x14ac:dyDescent="0.25">
      <c r="A18" s="99">
        <v>15</v>
      </c>
      <c r="B18" s="123" t="s">
        <v>349</v>
      </c>
      <c r="C18" s="124" t="s">
        <v>268</v>
      </c>
      <c r="D18" s="103" t="s">
        <v>80</v>
      </c>
      <c r="E18" s="124">
        <v>22</v>
      </c>
      <c r="F18" s="124"/>
    </row>
    <row r="19" spans="1:6" x14ac:dyDescent="0.25">
      <c r="A19" s="99">
        <v>16</v>
      </c>
      <c r="B19" s="123" t="s">
        <v>350</v>
      </c>
      <c r="C19" s="124"/>
      <c r="D19" s="124" t="s">
        <v>78</v>
      </c>
      <c r="E19" s="124">
        <v>1</v>
      </c>
      <c r="F19" s="124"/>
    </row>
    <row r="20" spans="1:6" x14ac:dyDescent="0.25">
      <c r="A20" s="99">
        <v>17</v>
      </c>
      <c r="B20" s="123" t="s">
        <v>94</v>
      </c>
      <c r="C20" s="124"/>
      <c r="D20" s="124" t="s">
        <v>78</v>
      </c>
      <c r="E20" s="124">
        <v>1</v>
      </c>
      <c r="F20" s="124"/>
    </row>
    <row r="21" spans="1:6" ht="25.5" x14ac:dyDescent="0.25">
      <c r="A21" s="99">
        <v>18</v>
      </c>
      <c r="B21" s="108" t="s">
        <v>293</v>
      </c>
      <c r="C21" s="103"/>
      <c r="D21" s="103" t="s">
        <v>102</v>
      </c>
      <c r="E21" s="98">
        <v>10</v>
      </c>
      <c r="F21" s="94"/>
    </row>
    <row r="22" spans="1:6" ht="25.5" x14ac:dyDescent="0.25">
      <c r="A22" s="99">
        <v>19</v>
      </c>
      <c r="B22" s="108" t="s">
        <v>351</v>
      </c>
      <c r="C22" s="103"/>
      <c r="D22" s="103" t="s">
        <v>102</v>
      </c>
      <c r="E22" s="98">
        <v>20</v>
      </c>
      <c r="F22" s="94"/>
    </row>
    <row r="23" spans="1:6" ht="25.5" x14ac:dyDescent="0.25">
      <c r="A23" s="99">
        <v>20</v>
      </c>
      <c r="B23" s="108" t="s">
        <v>376</v>
      </c>
      <c r="C23" s="103"/>
      <c r="D23" s="103" t="s">
        <v>102</v>
      </c>
      <c r="E23" s="98">
        <v>6</v>
      </c>
      <c r="F23" s="94"/>
    </row>
    <row r="24" spans="1:6" ht="25.5" x14ac:dyDescent="0.25">
      <c r="A24" s="99">
        <v>21</v>
      </c>
      <c r="B24" s="102" t="s">
        <v>289</v>
      </c>
      <c r="C24" s="103" t="s">
        <v>326</v>
      </c>
      <c r="D24" s="103" t="s">
        <v>83</v>
      </c>
      <c r="E24" s="121">
        <v>2</v>
      </c>
      <c r="F24" s="103"/>
    </row>
    <row r="25" spans="1:6" ht="25.5" x14ac:dyDescent="0.25">
      <c r="A25" s="99">
        <v>22</v>
      </c>
      <c r="B25" s="102" t="s">
        <v>289</v>
      </c>
      <c r="C25" s="103" t="s">
        <v>377</v>
      </c>
      <c r="D25" s="103" t="s">
        <v>83</v>
      </c>
      <c r="E25" s="121">
        <v>6</v>
      </c>
      <c r="F25" s="103"/>
    </row>
    <row r="26" spans="1:6" ht="25.5" x14ac:dyDescent="0.25">
      <c r="A26" s="99">
        <v>23</v>
      </c>
      <c r="B26" s="102" t="s">
        <v>328</v>
      </c>
      <c r="C26" s="103"/>
      <c r="D26" s="103" t="s">
        <v>78</v>
      </c>
      <c r="E26" s="122">
        <v>1</v>
      </c>
      <c r="F26" s="103" t="s">
        <v>327</v>
      </c>
    </row>
    <row r="27" spans="1:6" ht="51" x14ac:dyDescent="0.25">
      <c r="A27" s="99">
        <v>24</v>
      </c>
      <c r="B27" s="86" t="s">
        <v>366</v>
      </c>
      <c r="C27" s="85"/>
      <c r="D27" s="71" t="s">
        <v>78</v>
      </c>
      <c r="E27" s="84">
        <v>13</v>
      </c>
      <c r="F27" s="71" t="s">
        <v>367</v>
      </c>
    </row>
    <row r="28" spans="1:6" x14ac:dyDescent="0.25">
      <c r="A28" s="99"/>
      <c r="B28" s="114"/>
      <c r="C28" s="115"/>
      <c r="D28" s="115"/>
      <c r="E28" s="118"/>
      <c r="F28" s="103"/>
    </row>
  </sheetData>
  <mergeCells count="7">
    <mergeCell ref="A1:F1"/>
    <mergeCell ref="A2:A3"/>
    <mergeCell ref="B2:B3"/>
    <mergeCell ref="C2:C3"/>
    <mergeCell ref="D2:D3"/>
    <mergeCell ref="E2:E3"/>
    <mergeCell ref="F2:F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&amp;CVilces sākumskolas ēkas vienkāršota atjaunošana.</oddHeader>
    <oddFooter>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workbookViewId="0">
      <selection sqref="A1:XFD3"/>
    </sheetView>
  </sheetViews>
  <sheetFormatPr defaultRowHeight="15" x14ac:dyDescent="0.25"/>
  <cols>
    <col min="1" max="1" width="3.5703125" customWidth="1"/>
    <col min="2" max="2" width="43.140625" customWidth="1"/>
    <col min="3" max="3" width="15.85546875" customWidth="1"/>
    <col min="4" max="4" width="5.85546875" customWidth="1"/>
    <col min="5" max="5" width="7.28515625" bestFit="1" customWidth="1"/>
    <col min="6" max="6" width="11.140625" customWidth="1"/>
  </cols>
  <sheetData>
    <row r="1" spans="1:6" s="61" customFormat="1" ht="33" customHeight="1" x14ac:dyDescent="0.2">
      <c r="A1" s="176" t="s">
        <v>264</v>
      </c>
      <c r="B1" s="177"/>
      <c r="C1" s="177"/>
      <c r="D1" s="177"/>
      <c r="E1" s="177"/>
      <c r="F1" s="177"/>
    </row>
    <row r="2" spans="1:6" s="61" customFormat="1" ht="12.75" x14ac:dyDescent="0.2">
      <c r="A2" s="174" t="s">
        <v>73</v>
      </c>
      <c r="B2" s="175" t="s">
        <v>74</v>
      </c>
      <c r="C2" s="175" t="s">
        <v>75</v>
      </c>
      <c r="D2" s="175" t="s">
        <v>76</v>
      </c>
      <c r="E2" s="172" t="s">
        <v>77</v>
      </c>
      <c r="F2" s="172" t="s">
        <v>16</v>
      </c>
    </row>
    <row r="3" spans="1:6" s="61" customFormat="1" ht="26.25" customHeight="1" x14ac:dyDescent="0.2">
      <c r="A3" s="175"/>
      <c r="B3" s="175"/>
      <c r="C3" s="175"/>
      <c r="D3" s="175"/>
      <c r="E3" s="173"/>
      <c r="F3" s="173"/>
    </row>
    <row r="4" spans="1:6" s="61" customFormat="1" ht="26.25" customHeight="1" x14ac:dyDescent="0.2">
      <c r="A4" s="138">
        <v>1</v>
      </c>
      <c r="B4" s="140" t="s">
        <v>378</v>
      </c>
      <c r="C4" s="138" t="s">
        <v>379</v>
      </c>
      <c r="D4" s="138" t="s">
        <v>78</v>
      </c>
      <c r="E4" s="141">
        <v>11</v>
      </c>
      <c r="F4" s="137" t="s">
        <v>380</v>
      </c>
    </row>
    <row r="5" spans="1:6" s="61" customFormat="1" ht="26.25" customHeight="1" x14ac:dyDescent="0.2">
      <c r="A5" s="152">
        <v>2</v>
      </c>
      <c r="B5" s="154" t="s">
        <v>378</v>
      </c>
      <c r="C5" s="152" t="s">
        <v>388</v>
      </c>
      <c r="D5" s="152" t="s">
        <v>78</v>
      </c>
      <c r="E5" s="158">
        <v>7</v>
      </c>
      <c r="F5" s="151" t="s">
        <v>380</v>
      </c>
    </row>
    <row r="6" spans="1:6" s="61" customFormat="1" ht="26.25" customHeight="1" x14ac:dyDescent="0.2">
      <c r="A6" s="139">
        <v>3</v>
      </c>
      <c r="B6" s="140" t="s">
        <v>378</v>
      </c>
      <c r="C6" s="139" t="s">
        <v>381</v>
      </c>
      <c r="D6" s="139" t="s">
        <v>78</v>
      </c>
      <c r="E6" s="137">
        <v>5</v>
      </c>
      <c r="F6" s="151" t="s">
        <v>380</v>
      </c>
    </row>
    <row r="7" spans="1:6" s="61" customFormat="1" ht="26.25" customHeight="1" x14ac:dyDescent="0.2">
      <c r="A7" s="152">
        <v>4</v>
      </c>
      <c r="B7" s="154" t="s">
        <v>378</v>
      </c>
      <c r="C7" s="153" t="s">
        <v>389</v>
      </c>
      <c r="D7" s="153" t="s">
        <v>78</v>
      </c>
      <c r="E7" s="151">
        <v>3</v>
      </c>
      <c r="F7" s="151" t="s">
        <v>380</v>
      </c>
    </row>
    <row r="8" spans="1:6" s="61" customFormat="1" ht="51" x14ac:dyDescent="0.2">
      <c r="A8" s="152">
        <v>5</v>
      </c>
      <c r="B8" s="154" t="s">
        <v>413</v>
      </c>
      <c r="C8" s="153" t="s">
        <v>391</v>
      </c>
      <c r="D8" s="153" t="s">
        <v>78</v>
      </c>
      <c r="E8" s="151">
        <v>1</v>
      </c>
      <c r="F8" s="151" t="s">
        <v>380</v>
      </c>
    </row>
    <row r="9" spans="1:6" s="61" customFormat="1" ht="51" x14ac:dyDescent="0.2">
      <c r="A9" s="153">
        <v>6</v>
      </c>
      <c r="B9" s="154" t="s">
        <v>413</v>
      </c>
      <c r="C9" s="153" t="s">
        <v>392</v>
      </c>
      <c r="D9" s="153" t="s">
        <v>78</v>
      </c>
      <c r="E9" s="151">
        <v>3</v>
      </c>
      <c r="F9" s="151" t="s">
        <v>380</v>
      </c>
    </row>
    <row r="10" spans="1:6" s="61" customFormat="1" ht="51" x14ac:dyDescent="0.2">
      <c r="A10" s="152">
        <v>7</v>
      </c>
      <c r="B10" s="154" t="s">
        <v>413</v>
      </c>
      <c r="C10" s="153" t="s">
        <v>393</v>
      </c>
      <c r="D10" s="153" t="s">
        <v>78</v>
      </c>
      <c r="E10" s="151">
        <v>1</v>
      </c>
      <c r="F10" s="151" t="s">
        <v>380</v>
      </c>
    </row>
    <row r="11" spans="1:6" s="61" customFormat="1" ht="51" x14ac:dyDescent="0.2">
      <c r="A11" s="152">
        <v>8</v>
      </c>
      <c r="B11" s="154" t="s">
        <v>413</v>
      </c>
      <c r="C11" s="153" t="s">
        <v>394</v>
      </c>
      <c r="D11" s="153" t="s">
        <v>78</v>
      </c>
      <c r="E11" s="151">
        <v>4</v>
      </c>
      <c r="F11" s="151" t="s">
        <v>380</v>
      </c>
    </row>
    <row r="12" spans="1:6" s="61" customFormat="1" ht="51" x14ac:dyDescent="0.2">
      <c r="A12" s="153">
        <v>9</v>
      </c>
      <c r="B12" s="154" t="s">
        <v>413</v>
      </c>
      <c r="C12" s="153" t="s">
        <v>395</v>
      </c>
      <c r="D12" s="153" t="s">
        <v>78</v>
      </c>
      <c r="E12" s="151">
        <v>1</v>
      </c>
      <c r="F12" s="151" t="s">
        <v>380</v>
      </c>
    </row>
    <row r="13" spans="1:6" s="61" customFormat="1" ht="51" x14ac:dyDescent="0.2">
      <c r="A13" s="152">
        <v>10</v>
      </c>
      <c r="B13" s="154" t="s">
        <v>413</v>
      </c>
      <c r="C13" s="153" t="s">
        <v>396</v>
      </c>
      <c r="D13" s="153" t="s">
        <v>78</v>
      </c>
      <c r="E13" s="151">
        <v>1</v>
      </c>
      <c r="F13" s="151" t="s">
        <v>380</v>
      </c>
    </row>
    <row r="14" spans="1:6" s="61" customFormat="1" ht="51" x14ac:dyDescent="0.2">
      <c r="A14" s="152">
        <v>11</v>
      </c>
      <c r="B14" s="154" t="s">
        <v>413</v>
      </c>
      <c r="C14" s="153" t="s">
        <v>397</v>
      </c>
      <c r="D14" s="153" t="s">
        <v>78</v>
      </c>
      <c r="E14" s="151">
        <v>1</v>
      </c>
      <c r="F14" s="151" t="s">
        <v>380</v>
      </c>
    </row>
    <row r="15" spans="1:6" s="61" customFormat="1" ht="51" x14ac:dyDescent="0.2">
      <c r="A15" s="153">
        <v>12</v>
      </c>
      <c r="B15" s="154" t="s">
        <v>413</v>
      </c>
      <c r="C15" s="153" t="s">
        <v>398</v>
      </c>
      <c r="D15" s="153" t="s">
        <v>78</v>
      </c>
      <c r="E15" s="151">
        <v>1</v>
      </c>
      <c r="F15" s="151" t="s">
        <v>380</v>
      </c>
    </row>
    <row r="16" spans="1:6" s="61" customFormat="1" ht="51" x14ac:dyDescent="0.2">
      <c r="A16" s="152">
        <v>13</v>
      </c>
      <c r="B16" s="154" t="s">
        <v>413</v>
      </c>
      <c r="C16" s="153" t="s">
        <v>399</v>
      </c>
      <c r="D16" s="153" t="s">
        <v>78</v>
      </c>
      <c r="E16" s="151">
        <v>1</v>
      </c>
      <c r="F16" s="151" t="s">
        <v>380</v>
      </c>
    </row>
    <row r="17" spans="1:6" s="61" customFormat="1" ht="51" x14ac:dyDescent="0.2">
      <c r="A17" s="152">
        <v>14</v>
      </c>
      <c r="B17" s="154" t="s">
        <v>413</v>
      </c>
      <c r="C17" s="153" t="s">
        <v>400</v>
      </c>
      <c r="D17" s="153" t="s">
        <v>78</v>
      </c>
      <c r="E17" s="151">
        <v>2</v>
      </c>
      <c r="F17" s="151" t="s">
        <v>380</v>
      </c>
    </row>
    <row r="18" spans="1:6" s="61" customFormat="1" ht="51" x14ac:dyDescent="0.2">
      <c r="A18" s="153">
        <v>15</v>
      </c>
      <c r="B18" s="154" t="s">
        <v>413</v>
      </c>
      <c r="C18" s="153" t="s">
        <v>401</v>
      </c>
      <c r="D18" s="153" t="s">
        <v>78</v>
      </c>
      <c r="E18" s="151">
        <v>3</v>
      </c>
      <c r="F18" s="151" t="s">
        <v>380</v>
      </c>
    </row>
    <row r="19" spans="1:6" s="61" customFormat="1" ht="51" x14ac:dyDescent="0.2">
      <c r="A19" s="152">
        <v>16</v>
      </c>
      <c r="B19" s="154" t="s">
        <v>413</v>
      </c>
      <c r="C19" s="153" t="s">
        <v>402</v>
      </c>
      <c r="D19" s="153" t="s">
        <v>78</v>
      </c>
      <c r="E19" s="151">
        <v>2</v>
      </c>
      <c r="F19" s="151" t="s">
        <v>380</v>
      </c>
    </row>
    <row r="20" spans="1:6" s="61" customFormat="1" ht="51" x14ac:dyDescent="0.2">
      <c r="A20" s="152">
        <v>17</v>
      </c>
      <c r="B20" s="154" t="s">
        <v>413</v>
      </c>
      <c r="C20" s="153" t="s">
        <v>403</v>
      </c>
      <c r="D20" s="153" t="s">
        <v>78</v>
      </c>
      <c r="E20" s="151">
        <v>2</v>
      </c>
      <c r="F20" s="151" t="s">
        <v>380</v>
      </c>
    </row>
    <row r="21" spans="1:6" s="61" customFormat="1" ht="51" x14ac:dyDescent="0.2">
      <c r="A21" s="153">
        <v>18</v>
      </c>
      <c r="B21" s="154" t="s">
        <v>413</v>
      </c>
      <c r="C21" s="152" t="s">
        <v>390</v>
      </c>
      <c r="D21" s="153" t="s">
        <v>78</v>
      </c>
      <c r="E21" s="151">
        <v>3</v>
      </c>
      <c r="F21" s="151" t="s">
        <v>380</v>
      </c>
    </row>
    <row r="22" spans="1:6" s="61" customFormat="1" ht="51" x14ac:dyDescent="0.2">
      <c r="A22" s="152">
        <v>19</v>
      </c>
      <c r="B22" s="154" t="s">
        <v>413</v>
      </c>
      <c r="C22" s="153" t="s">
        <v>404</v>
      </c>
      <c r="D22" s="153" t="s">
        <v>78</v>
      </c>
      <c r="E22" s="151">
        <v>1</v>
      </c>
      <c r="F22" s="151" t="s">
        <v>380</v>
      </c>
    </row>
    <row r="23" spans="1:6" s="61" customFormat="1" ht="51" x14ac:dyDescent="0.2">
      <c r="A23" s="152">
        <v>20</v>
      </c>
      <c r="B23" s="154" t="s">
        <v>414</v>
      </c>
      <c r="C23" s="153" t="s">
        <v>405</v>
      </c>
      <c r="D23" s="153" t="s">
        <v>78</v>
      </c>
      <c r="E23" s="151">
        <v>3</v>
      </c>
      <c r="F23" s="151" t="s">
        <v>380</v>
      </c>
    </row>
    <row r="24" spans="1:6" s="61" customFormat="1" ht="51" x14ac:dyDescent="0.2">
      <c r="A24" s="153">
        <v>21</v>
      </c>
      <c r="B24" s="154" t="s">
        <v>414</v>
      </c>
      <c r="C24" s="153" t="s">
        <v>406</v>
      </c>
      <c r="D24" s="153" t="s">
        <v>78</v>
      </c>
      <c r="E24" s="151">
        <v>2</v>
      </c>
      <c r="F24" s="151" t="s">
        <v>380</v>
      </c>
    </row>
    <row r="25" spans="1:6" s="61" customFormat="1" ht="51" x14ac:dyDescent="0.2">
      <c r="A25" s="152">
        <v>22</v>
      </c>
      <c r="B25" s="154" t="s">
        <v>414</v>
      </c>
      <c r="C25" s="153" t="s">
        <v>407</v>
      </c>
      <c r="D25" s="153" t="s">
        <v>78</v>
      </c>
      <c r="E25" s="151">
        <v>1</v>
      </c>
      <c r="F25" s="151" t="s">
        <v>380</v>
      </c>
    </row>
    <row r="26" spans="1:6" s="61" customFormat="1" ht="51" x14ac:dyDescent="0.2">
      <c r="A26" s="152">
        <v>23</v>
      </c>
      <c r="B26" s="154" t="s">
        <v>414</v>
      </c>
      <c r="C26" s="153" t="s">
        <v>408</v>
      </c>
      <c r="D26" s="153" t="s">
        <v>78</v>
      </c>
      <c r="E26" s="151">
        <v>1</v>
      </c>
      <c r="F26" s="151" t="s">
        <v>380</v>
      </c>
    </row>
    <row r="27" spans="1:6" s="61" customFormat="1" ht="51" x14ac:dyDescent="0.2">
      <c r="A27" s="153">
        <v>24</v>
      </c>
      <c r="B27" s="154" t="s">
        <v>414</v>
      </c>
      <c r="C27" s="153" t="s">
        <v>409</v>
      </c>
      <c r="D27" s="153" t="s">
        <v>78</v>
      </c>
      <c r="E27" s="151">
        <v>2</v>
      </c>
      <c r="F27" s="151" t="s">
        <v>380</v>
      </c>
    </row>
    <row r="28" spans="1:6" s="61" customFormat="1" ht="51" x14ac:dyDescent="0.2">
      <c r="A28" s="152">
        <v>25</v>
      </c>
      <c r="B28" s="154" t="s">
        <v>414</v>
      </c>
      <c r="C28" s="153" t="s">
        <v>410</v>
      </c>
      <c r="D28" s="153" t="s">
        <v>78</v>
      </c>
      <c r="E28" s="151">
        <v>1</v>
      </c>
      <c r="F28" s="151" t="s">
        <v>380</v>
      </c>
    </row>
    <row r="29" spans="1:6" s="61" customFormat="1" ht="51" x14ac:dyDescent="0.2">
      <c r="A29" s="152">
        <v>26</v>
      </c>
      <c r="B29" s="154" t="s">
        <v>414</v>
      </c>
      <c r="C29" s="153" t="s">
        <v>411</v>
      </c>
      <c r="D29" s="153" t="s">
        <v>78</v>
      </c>
      <c r="E29" s="151">
        <v>4</v>
      </c>
      <c r="F29" s="151" t="s">
        <v>380</v>
      </c>
    </row>
    <row r="30" spans="1:6" s="61" customFormat="1" ht="51" x14ac:dyDescent="0.2">
      <c r="A30" s="153">
        <v>27</v>
      </c>
      <c r="B30" s="154" t="s">
        <v>414</v>
      </c>
      <c r="C30" s="153" t="s">
        <v>412</v>
      </c>
      <c r="D30" s="153" t="s">
        <v>78</v>
      </c>
      <c r="E30" s="151">
        <v>1</v>
      </c>
      <c r="F30" s="151" t="s">
        <v>380</v>
      </c>
    </row>
    <row r="31" spans="1:6" s="61" customFormat="1" ht="25.5" x14ac:dyDescent="0.2">
      <c r="A31" s="152">
        <v>28</v>
      </c>
      <c r="B31" s="133" t="s">
        <v>415</v>
      </c>
      <c r="C31" s="132" t="s">
        <v>416</v>
      </c>
      <c r="D31" s="132" t="s">
        <v>80</v>
      </c>
      <c r="E31" s="132">
        <f>SUM(E8:E30)</f>
        <v>42</v>
      </c>
      <c r="F31" s="131" t="s">
        <v>417</v>
      </c>
    </row>
    <row r="32" spans="1:6" s="61" customFormat="1" ht="25.5" x14ac:dyDescent="0.2">
      <c r="A32" s="152">
        <v>29</v>
      </c>
      <c r="B32" s="133" t="s">
        <v>418</v>
      </c>
      <c r="C32" s="132" t="s">
        <v>419</v>
      </c>
      <c r="D32" s="132" t="s">
        <v>80</v>
      </c>
      <c r="E32" s="132">
        <f>SUM(E4:E30)</f>
        <v>68</v>
      </c>
      <c r="F32" s="130" t="s">
        <v>420</v>
      </c>
    </row>
    <row r="33" spans="1:6" s="61" customFormat="1" ht="25.5" x14ac:dyDescent="0.2">
      <c r="A33" s="153">
        <v>30</v>
      </c>
      <c r="B33" s="133" t="s">
        <v>421</v>
      </c>
      <c r="C33" s="132" t="s">
        <v>422</v>
      </c>
      <c r="D33" s="132" t="s">
        <v>80</v>
      </c>
      <c r="E33" s="132">
        <f>E27+E26+E25+E24+E23+E22+E21+E16+E15+E14+E13+E12+E10+E9+E8</f>
        <v>23</v>
      </c>
      <c r="F33" s="130" t="s">
        <v>420</v>
      </c>
    </row>
    <row r="34" spans="1:6" s="61" customFormat="1" ht="25.5" x14ac:dyDescent="0.2">
      <c r="A34" s="152">
        <v>31</v>
      </c>
      <c r="B34" s="133" t="s">
        <v>423</v>
      </c>
      <c r="C34" s="132" t="s">
        <v>424</v>
      </c>
      <c r="D34" s="132" t="s">
        <v>80</v>
      </c>
      <c r="E34" s="159">
        <f>SUM(E4:E7)</f>
        <v>26</v>
      </c>
      <c r="F34" s="130" t="s">
        <v>420</v>
      </c>
    </row>
    <row r="35" spans="1:6" s="61" customFormat="1" ht="25.5" x14ac:dyDescent="0.2">
      <c r="A35" s="152">
        <v>32</v>
      </c>
      <c r="B35" s="133" t="s">
        <v>425</v>
      </c>
      <c r="C35" s="132" t="s">
        <v>426</v>
      </c>
      <c r="D35" s="132" t="s">
        <v>80</v>
      </c>
      <c r="E35" s="159">
        <f>(E30+E29+E20+E19+E18+E17+E11)*2+E7+E6+E5+E4</f>
        <v>62</v>
      </c>
      <c r="F35" s="130" t="s">
        <v>420</v>
      </c>
    </row>
    <row r="36" spans="1:6" s="61" customFormat="1" ht="25.5" x14ac:dyDescent="0.2">
      <c r="A36" s="153">
        <v>33</v>
      </c>
      <c r="B36" s="133" t="s">
        <v>427</v>
      </c>
      <c r="C36" s="132" t="s">
        <v>428</v>
      </c>
      <c r="D36" s="132" t="s">
        <v>78</v>
      </c>
      <c r="E36" s="159">
        <v>2</v>
      </c>
      <c r="F36" s="130" t="s">
        <v>420</v>
      </c>
    </row>
    <row r="37" spans="1:6" s="61" customFormat="1" ht="25.5" x14ac:dyDescent="0.2">
      <c r="A37" s="152">
        <v>34</v>
      </c>
      <c r="B37" s="133" t="s">
        <v>429</v>
      </c>
      <c r="C37" s="132" t="s">
        <v>430</v>
      </c>
      <c r="D37" s="132" t="s">
        <v>80</v>
      </c>
      <c r="E37" s="159">
        <v>2</v>
      </c>
      <c r="F37" s="130" t="s">
        <v>420</v>
      </c>
    </row>
    <row r="38" spans="1:6" s="61" customFormat="1" ht="25.5" x14ac:dyDescent="0.2">
      <c r="A38" s="152">
        <v>35</v>
      </c>
      <c r="B38" s="133" t="s">
        <v>427</v>
      </c>
      <c r="C38" s="132" t="s">
        <v>431</v>
      </c>
      <c r="D38" s="132" t="s">
        <v>78</v>
      </c>
      <c r="E38" s="159">
        <v>5</v>
      </c>
      <c r="F38" s="130" t="s">
        <v>420</v>
      </c>
    </row>
    <row r="39" spans="1:6" s="61" customFormat="1" ht="25.5" x14ac:dyDescent="0.2">
      <c r="A39" s="153">
        <v>36</v>
      </c>
      <c r="B39" s="133" t="s">
        <v>429</v>
      </c>
      <c r="C39" s="132" t="s">
        <v>432</v>
      </c>
      <c r="D39" s="132" t="s">
        <v>80</v>
      </c>
      <c r="E39" s="159">
        <v>5</v>
      </c>
      <c r="F39" s="130" t="s">
        <v>420</v>
      </c>
    </row>
    <row r="40" spans="1:6" s="61" customFormat="1" ht="25.5" x14ac:dyDescent="0.2">
      <c r="A40" s="152">
        <v>37</v>
      </c>
      <c r="B40" s="133" t="s">
        <v>427</v>
      </c>
      <c r="C40" s="132" t="s">
        <v>433</v>
      </c>
      <c r="D40" s="132" t="s">
        <v>78</v>
      </c>
      <c r="E40" s="159">
        <v>1</v>
      </c>
      <c r="F40" s="130" t="s">
        <v>420</v>
      </c>
    </row>
    <row r="41" spans="1:6" s="61" customFormat="1" ht="25.5" x14ac:dyDescent="0.2">
      <c r="A41" s="152">
        <v>38</v>
      </c>
      <c r="B41" s="133" t="s">
        <v>429</v>
      </c>
      <c r="C41" s="132" t="s">
        <v>434</v>
      </c>
      <c r="D41" s="132" t="s">
        <v>80</v>
      </c>
      <c r="E41" s="159">
        <v>1</v>
      </c>
      <c r="F41" s="130" t="s">
        <v>420</v>
      </c>
    </row>
    <row r="42" spans="1:6" ht="25.5" x14ac:dyDescent="0.25">
      <c r="A42" s="153">
        <v>39</v>
      </c>
      <c r="B42" s="114" t="s">
        <v>294</v>
      </c>
      <c r="C42" s="99" t="s">
        <v>304</v>
      </c>
      <c r="D42" s="99" t="s">
        <v>83</v>
      </c>
      <c r="E42" s="120">
        <v>520</v>
      </c>
      <c r="F42" s="103" t="s">
        <v>306</v>
      </c>
    </row>
    <row r="43" spans="1:6" ht="25.5" x14ac:dyDescent="0.25">
      <c r="A43" s="152">
        <v>40</v>
      </c>
      <c r="B43" s="114" t="s">
        <v>295</v>
      </c>
      <c r="C43" s="99" t="s">
        <v>303</v>
      </c>
      <c r="D43" s="99" t="s">
        <v>83</v>
      </c>
      <c r="E43" s="120">
        <v>96</v>
      </c>
      <c r="F43" s="103" t="s">
        <v>306</v>
      </c>
    </row>
    <row r="44" spans="1:6" ht="25.5" x14ac:dyDescent="0.25">
      <c r="A44" s="152">
        <v>41</v>
      </c>
      <c r="B44" s="114" t="s">
        <v>296</v>
      </c>
      <c r="C44" s="99" t="s">
        <v>305</v>
      </c>
      <c r="D44" s="115" t="s">
        <v>83</v>
      </c>
      <c r="E44" s="116">
        <v>120</v>
      </c>
      <c r="F44" s="103" t="s">
        <v>306</v>
      </c>
    </row>
    <row r="45" spans="1:6" ht="25.5" x14ac:dyDescent="0.25">
      <c r="A45" s="153">
        <v>42</v>
      </c>
      <c r="B45" s="114" t="s">
        <v>297</v>
      </c>
      <c r="C45" s="99" t="s">
        <v>307</v>
      </c>
      <c r="D45" s="115" t="s">
        <v>83</v>
      </c>
      <c r="E45" s="116">
        <v>27</v>
      </c>
      <c r="F45" s="103" t="s">
        <v>306</v>
      </c>
    </row>
    <row r="46" spans="1:6" ht="25.5" x14ac:dyDescent="0.25">
      <c r="A46" s="152">
        <v>43</v>
      </c>
      <c r="B46" s="114" t="s">
        <v>298</v>
      </c>
      <c r="C46" s="99" t="s">
        <v>308</v>
      </c>
      <c r="D46" s="115" t="s">
        <v>83</v>
      </c>
      <c r="E46" s="116">
        <v>42</v>
      </c>
      <c r="F46" s="103" t="s">
        <v>306</v>
      </c>
    </row>
    <row r="47" spans="1:6" ht="25.5" x14ac:dyDescent="0.25">
      <c r="A47" s="152">
        <v>44</v>
      </c>
      <c r="B47" s="114" t="s">
        <v>301</v>
      </c>
      <c r="C47" s="99" t="s">
        <v>317</v>
      </c>
      <c r="D47" s="115" t="s">
        <v>83</v>
      </c>
      <c r="E47" s="116">
        <v>6</v>
      </c>
      <c r="F47" s="103" t="s">
        <v>306</v>
      </c>
    </row>
    <row r="48" spans="1:6" ht="25.5" x14ac:dyDescent="0.25">
      <c r="A48" s="153">
        <v>45</v>
      </c>
      <c r="B48" s="114" t="s">
        <v>299</v>
      </c>
      <c r="C48" s="115" t="s">
        <v>309</v>
      </c>
      <c r="D48" s="115" t="s">
        <v>78</v>
      </c>
      <c r="E48" s="115">
        <v>1</v>
      </c>
      <c r="F48" s="103" t="s">
        <v>306</v>
      </c>
    </row>
    <row r="49" spans="1:8" ht="25.5" x14ac:dyDescent="0.25">
      <c r="A49" s="152">
        <v>46</v>
      </c>
      <c r="B49" s="114" t="s">
        <v>300</v>
      </c>
      <c r="C49" s="115" t="s">
        <v>309</v>
      </c>
      <c r="D49" s="115" t="s">
        <v>78</v>
      </c>
      <c r="E49" s="118">
        <v>1</v>
      </c>
      <c r="F49" s="103" t="s">
        <v>306</v>
      </c>
      <c r="H49" s="14"/>
    </row>
    <row r="50" spans="1:8" ht="25.5" x14ac:dyDescent="0.25">
      <c r="A50" s="152">
        <v>47</v>
      </c>
      <c r="B50" s="157" t="s">
        <v>368</v>
      </c>
      <c r="C50" s="156" t="s">
        <v>435</v>
      </c>
      <c r="D50" s="155" t="s">
        <v>83</v>
      </c>
      <c r="E50" s="116">
        <v>178</v>
      </c>
      <c r="F50" s="103" t="s">
        <v>199</v>
      </c>
    </row>
    <row r="51" spans="1:8" ht="25.5" x14ac:dyDescent="0.25">
      <c r="A51" s="153">
        <v>48</v>
      </c>
      <c r="B51" s="157" t="s">
        <v>368</v>
      </c>
      <c r="C51" s="156" t="s">
        <v>387</v>
      </c>
      <c r="D51" s="155" t="s">
        <v>83</v>
      </c>
      <c r="E51" s="116">
        <v>15</v>
      </c>
      <c r="F51" s="103" t="s">
        <v>199</v>
      </c>
    </row>
    <row r="52" spans="1:8" ht="25.5" x14ac:dyDescent="0.25">
      <c r="A52" s="152">
        <v>49</v>
      </c>
      <c r="B52" s="157" t="s">
        <v>368</v>
      </c>
      <c r="C52" s="156" t="s">
        <v>436</v>
      </c>
      <c r="D52" s="155" t="s">
        <v>83</v>
      </c>
      <c r="E52" s="116">
        <v>108</v>
      </c>
      <c r="F52" s="103" t="s">
        <v>199</v>
      </c>
    </row>
    <row r="53" spans="1:8" ht="25.5" x14ac:dyDescent="0.25">
      <c r="A53" s="152">
        <v>50</v>
      </c>
      <c r="B53" s="157" t="s">
        <v>368</v>
      </c>
      <c r="C53" s="156" t="s">
        <v>437</v>
      </c>
      <c r="D53" s="155" t="s">
        <v>83</v>
      </c>
      <c r="E53" s="116">
        <f>E45</f>
        <v>27</v>
      </c>
      <c r="F53" s="103" t="s">
        <v>199</v>
      </c>
    </row>
    <row r="54" spans="1:8" ht="25.5" x14ac:dyDescent="0.25">
      <c r="A54" s="153">
        <v>51</v>
      </c>
      <c r="B54" s="157" t="s">
        <v>368</v>
      </c>
      <c r="C54" s="156" t="s">
        <v>438</v>
      </c>
      <c r="D54" s="155" t="s">
        <v>83</v>
      </c>
      <c r="E54" s="116">
        <f>E46</f>
        <v>42</v>
      </c>
      <c r="F54" s="103" t="s">
        <v>199</v>
      </c>
    </row>
    <row r="55" spans="1:8" ht="25.5" x14ac:dyDescent="0.25">
      <c r="A55" s="152">
        <v>52</v>
      </c>
      <c r="B55" s="157" t="s">
        <v>368</v>
      </c>
      <c r="C55" s="156" t="s">
        <v>439</v>
      </c>
      <c r="D55" s="155" t="s">
        <v>83</v>
      </c>
      <c r="E55" s="116">
        <f>E47</f>
        <v>6</v>
      </c>
      <c r="F55" s="103" t="s">
        <v>199</v>
      </c>
    </row>
    <row r="56" spans="1:8" x14ac:dyDescent="0.25">
      <c r="A56" s="152">
        <v>53</v>
      </c>
      <c r="B56" s="147" t="s">
        <v>382</v>
      </c>
      <c r="C56" s="146"/>
      <c r="D56" s="146" t="s">
        <v>78</v>
      </c>
      <c r="E56" s="146">
        <v>1</v>
      </c>
      <c r="F56" s="142"/>
    </row>
    <row r="57" spans="1:8" ht="25.5" x14ac:dyDescent="0.25">
      <c r="A57" s="153">
        <v>54</v>
      </c>
      <c r="B57" s="147" t="s">
        <v>383</v>
      </c>
      <c r="C57" s="146"/>
      <c r="D57" s="146" t="s">
        <v>78</v>
      </c>
      <c r="E57" s="149">
        <v>1</v>
      </c>
      <c r="F57" s="142"/>
    </row>
    <row r="58" spans="1:8" ht="25.5" x14ac:dyDescent="0.25">
      <c r="A58" s="152">
        <v>55</v>
      </c>
      <c r="B58" s="147" t="s">
        <v>384</v>
      </c>
      <c r="C58" s="146"/>
      <c r="D58" s="146" t="s">
        <v>78</v>
      </c>
      <c r="E58" s="143">
        <v>1</v>
      </c>
      <c r="F58" s="142"/>
    </row>
    <row r="59" spans="1:8" ht="26.25" x14ac:dyDescent="0.25">
      <c r="A59" s="152">
        <v>56</v>
      </c>
      <c r="B59" s="148" t="s">
        <v>385</v>
      </c>
      <c r="C59" s="150" t="s">
        <v>270</v>
      </c>
      <c r="D59" s="150" t="s">
        <v>83</v>
      </c>
      <c r="E59" s="144">
        <v>30</v>
      </c>
      <c r="F59" s="142"/>
    </row>
    <row r="60" spans="1:8" ht="26.25" x14ac:dyDescent="0.25">
      <c r="A60" s="153">
        <v>57</v>
      </c>
      <c r="B60" s="148" t="s">
        <v>385</v>
      </c>
      <c r="C60" s="150" t="s">
        <v>267</v>
      </c>
      <c r="D60" s="150" t="s">
        <v>83</v>
      </c>
      <c r="E60" s="144">
        <f>12*0.5</f>
        <v>6</v>
      </c>
      <c r="F60" s="142"/>
    </row>
    <row r="61" spans="1:8" ht="26.25" x14ac:dyDescent="0.25">
      <c r="A61" s="152">
        <v>58</v>
      </c>
      <c r="B61" s="148" t="s">
        <v>385</v>
      </c>
      <c r="C61" s="150" t="s">
        <v>440</v>
      </c>
      <c r="D61" s="150" t="s">
        <v>83</v>
      </c>
      <c r="E61" s="144">
        <v>6</v>
      </c>
      <c r="F61" s="142"/>
    </row>
    <row r="62" spans="1:8" ht="26.25" x14ac:dyDescent="0.25">
      <c r="A62" s="152">
        <v>59</v>
      </c>
      <c r="B62" s="145" t="s">
        <v>386</v>
      </c>
      <c r="C62" s="142"/>
      <c r="D62" s="150" t="s">
        <v>78</v>
      </c>
      <c r="E62" s="143">
        <v>1</v>
      </c>
      <c r="F62" s="142"/>
    </row>
    <row r="63" spans="1:8" x14ac:dyDescent="0.25">
      <c r="A63" s="142"/>
      <c r="B63" s="142"/>
      <c r="C63" s="142"/>
      <c r="D63" s="142"/>
      <c r="E63" s="142"/>
      <c r="F63" s="142"/>
    </row>
  </sheetData>
  <mergeCells count="7">
    <mergeCell ref="A1:F1"/>
    <mergeCell ref="A2:A3"/>
    <mergeCell ref="B2:B3"/>
    <mergeCell ref="C2:C3"/>
    <mergeCell ref="D2:D3"/>
    <mergeCell ref="E2:E3"/>
    <mergeCell ref="F2:F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&amp;CVilces sākumskolas ēkas vienkāršota atjaunošana.</oddHeader>
    <oddFooter>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abSelected="1" workbookViewId="0">
      <selection activeCell="J7" sqref="J7"/>
    </sheetView>
  </sheetViews>
  <sheetFormatPr defaultRowHeight="15" x14ac:dyDescent="0.25"/>
  <cols>
    <col min="1" max="1" width="4.140625" customWidth="1"/>
    <col min="2" max="2" width="42.28515625" customWidth="1"/>
    <col min="3" max="3" width="15.85546875" customWidth="1"/>
    <col min="4" max="4" width="6.28515625" customWidth="1"/>
    <col min="5" max="5" width="7.28515625" bestFit="1" customWidth="1"/>
    <col min="6" max="6" width="10.85546875" customWidth="1"/>
  </cols>
  <sheetData>
    <row r="1" spans="1:6" s="61" customFormat="1" ht="30.75" customHeight="1" x14ac:dyDescent="0.2">
      <c r="A1" s="176" t="s">
        <v>441</v>
      </c>
      <c r="B1" s="177"/>
      <c r="C1" s="177"/>
      <c r="D1" s="177"/>
      <c r="E1" s="177"/>
      <c r="F1" s="177"/>
    </row>
    <row r="2" spans="1:6" s="61" customFormat="1" ht="12.75" x14ac:dyDescent="0.2">
      <c r="A2" s="179" t="s">
        <v>73</v>
      </c>
      <c r="B2" s="178" t="s">
        <v>74</v>
      </c>
      <c r="C2" s="178" t="s">
        <v>75</v>
      </c>
      <c r="D2" s="178" t="s">
        <v>76</v>
      </c>
      <c r="E2" s="178" t="s">
        <v>77</v>
      </c>
      <c r="F2" s="178" t="s">
        <v>16</v>
      </c>
    </row>
    <row r="3" spans="1:6" s="61" customFormat="1" ht="12.75" x14ac:dyDescent="0.2">
      <c r="A3" s="162"/>
      <c r="B3" s="162"/>
      <c r="C3" s="162"/>
      <c r="D3" s="162"/>
      <c r="E3" s="162"/>
      <c r="F3" s="162"/>
    </row>
    <row r="4" spans="1:6" x14ac:dyDescent="0.25">
      <c r="A4" s="180">
        <v>1</v>
      </c>
      <c r="B4" s="181" t="s">
        <v>502</v>
      </c>
      <c r="C4" s="182"/>
      <c r="D4" s="180" t="s">
        <v>78</v>
      </c>
      <c r="E4" s="183">
        <v>1</v>
      </c>
      <c r="F4" s="183" t="s">
        <v>503</v>
      </c>
    </row>
    <row r="5" spans="1:6" ht="38.25" x14ac:dyDescent="0.25">
      <c r="A5" s="180">
        <v>2</v>
      </c>
      <c r="B5" s="181" t="s">
        <v>495</v>
      </c>
      <c r="C5" s="182" t="s">
        <v>504</v>
      </c>
      <c r="D5" s="180" t="s">
        <v>78</v>
      </c>
      <c r="E5" s="183">
        <v>1</v>
      </c>
      <c r="F5" s="180" t="s">
        <v>505</v>
      </c>
    </row>
    <row r="6" spans="1:6" ht="25.5" x14ac:dyDescent="0.25">
      <c r="A6" s="180">
        <v>4</v>
      </c>
      <c r="B6" s="181" t="s">
        <v>506</v>
      </c>
      <c r="C6" s="182"/>
      <c r="D6" s="180" t="s">
        <v>78</v>
      </c>
      <c r="E6" s="183">
        <v>1</v>
      </c>
      <c r="F6" s="183"/>
    </row>
    <row r="7" spans="1:6" ht="38.25" x14ac:dyDescent="0.25">
      <c r="A7" s="180">
        <v>5.3333333333333304</v>
      </c>
      <c r="B7" s="185" t="s">
        <v>507</v>
      </c>
      <c r="C7" s="186" t="s">
        <v>508</v>
      </c>
      <c r="D7" s="184" t="s">
        <v>78</v>
      </c>
      <c r="E7" s="187">
        <v>1</v>
      </c>
      <c r="F7" s="187" t="s">
        <v>494</v>
      </c>
    </row>
    <row r="8" spans="1:6" ht="25.5" x14ac:dyDescent="0.25">
      <c r="A8" s="180">
        <v>6.8333333333333304</v>
      </c>
      <c r="B8" s="185" t="s">
        <v>443</v>
      </c>
      <c r="C8" s="186" t="s">
        <v>509</v>
      </c>
      <c r="D8" s="184" t="s">
        <v>78</v>
      </c>
      <c r="E8" s="187">
        <v>2</v>
      </c>
      <c r="F8" s="187" t="s">
        <v>494</v>
      </c>
    </row>
    <row r="9" spans="1:6" x14ac:dyDescent="0.25">
      <c r="A9" s="180">
        <v>8.3333333333333304</v>
      </c>
      <c r="B9" s="185" t="s">
        <v>442</v>
      </c>
      <c r="C9" s="186" t="s">
        <v>444</v>
      </c>
      <c r="D9" s="184" t="s">
        <v>80</v>
      </c>
      <c r="E9" s="187">
        <v>8</v>
      </c>
      <c r="F9" s="187" t="s">
        <v>494</v>
      </c>
    </row>
    <row r="10" spans="1:6" x14ac:dyDescent="0.25">
      <c r="A10" s="180">
        <v>9.8333333333333304</v>
      </c>
      <c r="B10" s="181" t="s">
        <v>445</v>
      </c>
      <c r="C10" s="182" t="s">
        <v>446</v>
      </c>
      <c r="D10" s="180" t="s">
        <v>80</v>
      </c>
      <c r="E10" s="183">
        <v>2</v>
      </c>
      <c r="F10" s="183" t="s">
        <v>494</v>
      </c>
    </row>
    <row r="11" spans="1:6" ht="25.5" x14ac:dyDescent="0.25">
      <c r="A11" s="180">
        <v>11.3333333333333</v>
      </c>
      <c r="B11" s="181" t="s">
        <v>447</v>
      </c>
      <c r="C11" s="182"/>
      <c r="D11" s="180" t="s">
        <v>78</v>
      </c>
      <c r="E11" s="183">
        <v>2</v>
      </c>
      <c r="F11" s="183"/>
    </row>
    <row r="12" spans="1:6" ht="25.5" x14ac:dyDescent="0.25">
      <c r="A12" s="180">
        <v>12.8333333333333</v>
      </c>
      <c r="B12" s="181" t="s">
        <v>510</v>
      </c>
      <c r="C12" s="182" t="s">
        <v>511</v>
      </c>
      <c r="D12" s="180" t="s">
        <v>80</v>
      </c>
      <c r="E12" s="183">
        <v>1</v>
      </c>
      <c r="F12" s="183" t="s">
        <v>494</v>
      </c>
    </row>
    <row r="13" spans="1:6" ht="38.25" x14ac:dyDescent="0.25">
      <c r="A13" s="180">
        <v>14.3333333333333</v>
      </c>
      <c r="B13" s="181" t="s">
        <v>514</v>
      </c>
      <c r="C13" s="182" t="s">
        <v>515</v>
      </c>
      <c r="D13" s="180" t="s">
        <v>80</v>
      </c>
      <c r="E13" s="183">
        <v>1</v>
      </c>
      <c r="F13" s="183" t="s">
        <v>494</v>
      </c>
    </row>
    <row r="14" spans="1:6" ht="25.5" x14ac:dyDescent="0.25">
      <c r="A14" s="180">
        <v>15.8333333333333</v>
      </c>
      <c r="B14" s="181" t="s">
        <v>512</v>
      </c>
      <c r="C14" s="182" t="s">
        <v>513</v>
      </c>
      <c r="D14" s="180" t="s">
        <v>80</v>
      </c>
      <c r="E14" s="183">
        <v>1</v>
      </c>
      <c r="F14" s="183" t="s">
        <v>494</v>
      </c>
    </row>
    <row r="15" spans="1:6" ht="38.25" x14ac:dyDescent="0.25">
      <c r="A15" s="180">
        <v>17.3333333333333</v>
      </c>
      <c r="B15" s="181" t="s">
        <v>516</v>
      </c>
      <c r="C15" s="182" t="s">
        <v>517</v>
      </c>
      <c r="D15" s="180" t="s">
        <v>80</v>
      </c>
      <c r="E15" s="183">
        <v>1</v>
      </c>
      <c r="F15" s="183" t="s">
        <v>494</v>
      </c>
    </row>
    <row r="16" spans="1:6" x14ac:dyDescent="0.25">
      <c r="A16" s="180">
        <v>18.8333333333333</v>
      </c>
      <c r="B16" s="181" t="s">
        <v>448</v>
      </c>
      <c r="C16" s="182"/>
      <c r="D16" s="180" t="s">
        <v>78</v>
      </c>
      <c r="E16" s="183">
        <v>1</v>
      </c>
      <c r="F16" s="183" t="s">
        <v>494</v>
      </c>
    </row>
    <row r="17" spans="1:6" x14ac:dyDescent="0.25">
      <c r="A17" s="180">
        <v>20.3333333333333</v>
      </c>
      <c r="B17" s="181" t="s">
        <v>449</v>
      </c>
      <c r="C17" s="182"/>
      <c r="D17" s="180" t="s">
        <v>78</v>
      </c>
      <c r="E17" s="183">
        <v>1</v>
      </c>
      <c r="F17" s="183" t="s">
        <v>494</v>
      </c>
    </row>
    <row r="18" spans="1:6" x14ac:dyDescent="0.25">
      <c r="A18" s="180">
        <v>21.8333333333333</v>
      </c>
      <c r="B18" s="181" t="s">
        <v>518</v>
      </c>
      <c r="C18" s="182"/>
      <c r="D18" s="180" t="s">
        <v>78</v>
      </c>
      <c r="E18" s="183">
        <v>1</v>
      </c>
      <c r="F18" s="183" t="s">
        <v>494</v>
      </c>
    </row>
    <row r="19" spans="1:6" x14ac:dyDescent="0.25">
      <c r="A19" s="180">
        <v>23.3333333333333</v>
      </c>
      <c r="B19" s="181" t="s">
        <v>519</v>
      </c>
      <c r="C19" s="182"/>
      <c r="D19" s="180" t="s">
        <v>78</v>
      </c>
      <c r="E19" s="183">
        <v>1</v>
      </c>
      <c r="F19" s="183" t="s">
        <v>494</v>
      </c>
    </row>
    <row r="20" spans="1:6" ht="25.5" x14ac:dyDescent="0.25">
      <c r="A20" s="180">
        <v>24.8333333333333</v>
      </c>
      <c r="B20" s="181" t="s">
        <v>450</v>
      </c>
      <c r="C20" s="182"/>
      <c r="D20" s="180" t="s">
        <v>78</v>
      </c>
      <c r="E20" s="183">
        <v>1</v>
      </c>
      <c r="F20" s="183" t="s">
        <v>494</v>
      </c>
    </row>
    <row r="21" spans="1:6" ht="25.5" x14ac:dyDescent="0.25">
      <c r="A21" s="180">
        <v>26.3333333333333</v>
      </c>
      <c r="B21" s="181" t="s">
        <v>451</v>
      </c>
      <c r="C21" s="182"/>
      <c r="D21" s="180" t="s">
        <v>78</v>
      </c>
      <c r="E21" s="183">
        <v>1</v>
      </c>
      <c r="F21" s="183" t="s">
        <v>494</v>
      </c>
    </row>
    <row r="22" spans="1:6" ht="25.5" x14ac:dyDescent="0.25">
      <c r="A22" s="180">
        <v>27.8333333333333</v>
      </c>
      <c r="B22" s="181" t="s">
        <v>451</v>
      </c>
      <c r="C22" s="182"/>
      <c r="D22" s="180" t="s">
        <v>78</v>
      </c>
      <c r="E22" s="183">
        <v>1</v>
      </c>
      <c r="F22" s="183" t="s">
        <v>494</v>
      </c>
    </row>
    <row r="23" spans="1:6" ht="25.5" x14ac:dyDescent="0.25">
      <c r="A23" s="180">
        <v>29.3333333333333</v>
      </c>
      <c r="B23" s="181" t="s">
        <v>520</v>
      </c>
      <c r="C23" s="182"/>
      <c r="D23" s="180" t="s">
        <v>78</v>
      </c>
      <c r="E23" s="183">
        <v>1</v>
      </c>
      <c r="F23" s="183" t="s">
        <v>494</v>
      </c>
    </row>
    <row r="24" spans="1:6" ht="25.5" x14ac:dyDescent="0.25">
      <c r="A24" s="180">
        <v>30.8333333333333</v>
      </c>
      <c r="B24" s="181" t="s">
        <v>521</v>
      </c>
      <c r="C24" s="182"/>
      <c r="D24" s="180" t="s">
        <v>78</v>
      </c>
      <c r="E24" s="183">
        <v>1</v>
      </c>
      <c r="F24" s="183" t="s">
        <v>494</v>
      </c>
    </row>
    <row r="25" spans="1:6" ht="39.75" x14ac:dyDescent="0.25">
      <c r="A25" s="180">
        <v>32.3333333333333</v>
      </c>
      <c r="B25" s="188" t="s">
        <v>522</v>
      </c>
      <c r="C25" s="182" t="s">
        <v>523</v>
      </c>
      <c r="D25" s="180" t="s">
        <v>80</v>
      </c>
      <c r="E25" s="183">
        <v>1</v>
      </c>
      <c r="F25" s="183" t="s">
        <v>452</v>
      </c>
    </row>
    <row r="26" spans="1:6" ht="39.75" x14ac:dyDescent="0.25">
      <c r="A26" s="180">
        <v>33.8333333333333</v>
      </c>
      <c r="B26" s="188" t="s">
        <v>524</v>
      </c>
      <c r="C26" s="182" t="s">
        <v>523</v>
      </c>
      <c r="D26" s="180" t="s">
        <v>80</v>
      </c>
      <c r="E26" s="183">
        <v>1</v>
      </c>
      <c r="F26" s="183" t="s">
        <v>452</v>
      </c>
    </row>
    <row r="27" spans="1:6" ht="39.75" x14ac:dyDescent="0.25">
      <c r="A27" s="180">
        <v>35.3333333333333</v>
      </c>
      <c r="B27" s="188" t="s">
        <v>525</v>
      </c>
      <c r="C27" s="189" t="s">
        <v>526</v>
      </c>
      <c r="D27" s="180" t="s">
        <v>80</v>
      </c>
      <c r="E27" s="189">
        <v>1</v>
      </c>
      <c r="F27" s="183" t="s">
        <v>452</v>
      </c>
    </row>
    <row r="28" spans="1:6" ht="39.75" x14ac:dyDescent="0.25">
      <c r="A28" s="180">
        <v>36.8333333333333</v>
      </c>
      <c r="B28" s="188" t="s">
        <v>527</v>
      </c>
      <c r="C28" s="180" t="s">
        <v>453</v>
      </c>
      <c r="D28" s="180" t="s">
        <v>80</v>
      </c>
      <c r="E28" s="180">
        <v>1</v>
      </c>
      <c r="F28" s="183" t="s">
        <v>452</v>
      </c>
    </row>
    <row r="29" spans="1:6" ht="25.5" x14ac:dyDescent="0.25">
      <c r="A29" s="180">
        <v>38.3333333333333</v>
      </c>
      <c r="B29" s="188" t="s">
        <v>454</v>
      </c>
      <c r="C29" s="189"/>
      <c r="D29" s="180" t="s">
        <v>78</v>
      </c>
      <c r="E29" s="180">
        <v>4</v>
      </c>
      <c r="F29" s="183"/>
    </row>
    <row r="30" spans="1:6" ht="25.5" x14ac:dyDescent="0.25">
      <c r="A30" s="180">
        <v>39.8333333333333</v>
      </c>
      <c r="B30" s="188" t="s">
        <v>455</v>
      </c>
      <c r="C30" s="189"/>
      <c r="D30" s="180" t="s">
        <v>78</v>
      </c>
      <c r="E30" s="180">
        <v>4</v>
      </c>
      <c r="F30" s="183"/>
    </row>
    <row r="31" spans="1:6" ht="38.25" x14ac:dyDescent="0.25">
      <c r="A31" s="180">
        <v>41.3333333333333</v>
      </c>
      <c r="B31" s="188" t="s">
        <v>528</v>
      </c>
      <c r="C31" s="180" t="s">
        <v>529</v>
      </c>
      <c r="D31" s="180" t="s">
        <v>78</v>
      </c>
      <c r="E31" s="180">
        <v>1</v>
      </c>
      <c r="F31" s="183" t="s">
        <v>457</v>
      </c>
    </row>
    <row r="32" spans="1:6" ht="51" x14ac:dyDescent="0.25">
      <c r="A32" s="180">
        <v>42.8333333333333</v>
      </c>
      <c r="B32" s="188" t="s">
        <v>530</v>
      </c>
      <c r="C32" s="180" t="s">
        <v>456</v>
      </c>
      <c r="D32" s="180" t="s">
        <v>78</v>
      </c>
      <c r="E32" s="180">
        <v>2</v>
      </c>
      <c r="F32" s="183" t="s">
        <v>457</v>
      </c>
    </row>
    <row r="33" spans="1:6" ht="38.25" x14ac:dyDescent="0.25">
      <c r="A33" s="180">
        <v>44.3333333333333</v>
      </c>
      <c r="B33" s="188" t="s">
        <v>532</v>
      </c>
      <c r="C33" s="180" t="s">
        <v>531</v>
      </c>
      <c r="D33" s="180" t="s">
        <v>78</v>
      </c>
      <c r="E33" s="180">
        <v>1</v>
      </c>
      <c r="F33" s="183" t="s">
        <v>457</v>
      </c>
    </row>
    <row r="34" spans="1:6" ht="27" x14ac:dyDescent="0.25">
      <c r="A34" s="180">
        <v>45.8333333333333</v>
      </c>
      <c r="B34" s="188" t="s">
        <v>496</v>
      </c>
      <c r="C34" s="180" t="s">
        <v>497</v>
      </c>
      <c r="D34" s="180" t="s">
        <v>80</v>
      </c>
      <c r="E34" s="180">
        <v>1</v>
      </c>
      <c r="F34" s="183" t="s">
        <v>458</v>
      </c>
    </row>
    <row r="35" spans="1:6" ht="25.5" x14ac:dyDescent="0.25">
      <c r="A35" s="180">
        <v>47.3333333333333</v>
      </c>
      <c r="B35" s="188" t="s">
        <v>460</v>
      </c>
      <c r="C35" s="180" t="s">
        <v>498</v>
      </c>
      <c r="D35" s="180" t="s">
        <v>80</v>
      </c>
      <c r="E35" s="180">
        <v>1</v>
      </c>
      <c r="F35" s="183" t="s">
        <v>459</v>
      </c>
    </row>
    <row r="36" spans="1:6" ht="25.5" x14ac:dyDescent="0.25">
      <c r="A36" s="180">
        <v>48.8333333333333</v>
      </c>
      <c r="B36" s="188" t="s">
        <v>533</v>
      </c>
      <c r="C36" s="180" t="s">
        <v>534</v>
      </c>
      <c r="D36" s="180" t="s">
        <v>80</v>
      </c>
      <c r="E36" s="180">
        <v>2</v>
      </c>
      <c r="F36" s="183" t="s">
        <v>459</v>
      </c>
    </row>
    <row r="37" spans="1:6" ht="25.5" x14ac:dyDescent="0.25">
      <c r="A37" s="180">
        <v>50.3333333333333</v>
      </c>
      <c r="B37" s="188" t="s">
        <v>535</v>
      </c>
      <c r="C37" s="180" t="s">
        <v>536</v>
      </c>
      <c r="D37" s="184" t="s">
        <v>80</v>
      </c>
      <c r="E37" s="184">
        <v>1</v>
      </c>
      <c r="F37" s="187" t="s">
        <v>459</v>
      </c>
    </row>
    <row r="38" spans="1:6" x14ac:dyDescent="0.25">
      <c r="A38" s="180">
        <v>51.8333333333333</v>
      </c>
      <c r="B38" s="190" t="s">
        <v>537</v>
      </c>
      <c r="C38" s="184" t="s">
        <v>465</v>
      </c>
      <c r="D38" s="184" t="s">
        <v>80</v>
      </c>
      <c r="E38" s="184">
        <v>5</v>
      </c>
      <c r="F38" s="184" t="s">
        <v>464</v>
      </c>
    </row>
    <row r="39" spans="1:6" x14ac:dyDescent="0.25">
      <c r="A39" s="180">
        <v>53.3333333333333</v>
      </c>
      <c r="B39" s="190" t="s">
        <v>537</v>
      </c>
      <c r="C39" s="184" t="s">
        <v>480</v>
      </c>
      <c r="D39" s="184" t="s">
        <v>80</v>
      </c>
      <c r="E39" s="184">
        <v>11</v>
      </c>
      <c r="F39" s="184" t="s">
        <v>464</v>
      </c>
    </row>
    <row r="40" spans="1:6" x14ac:dyDescent="0.25">
      <c r="A40" s="180">
        <v>54.8333333333333</v>
      </c>
      <c r="B40" s="190" t="s">
        <v>537</v>
      </c>
      <c r="C40" s="184" t="s">
        <v>463</v>
      </c>
      <c r="D40" s="184" t="s">
        <v>80</v>
      </c>
      <c r="E40" s="184">
        <v>4</v>
      </c>
      <c r="F40" s="184" t="s">
        <v>464</v>
      </c>
    </row>
    <row r="41" spans="1:6" x14ac:dyDescent="0.25">
      <c r="A41" s="180">
        <v>56.3333333333333</v>
      </c>
      <c r="B41" s="190" t="s">
        <v>537</v>
      </c>
      <c r="C41" s="184" t="s">
        <v>462</v>
      </c>
      <c r="D41" s="184" t="s">
        <v>80</v>
      </c>
      <c r="E41" s="184">
        <v>2</v>
      </c>
      <c r="F41" s="184" t="s">
        <v>464</v>
      </c>
    </row>
    <row r="42" spans="1:6" x14ac:dyDescent="0.25">
      <c r="A42" s="180">
        <v>57.8333333333333</v>
      </c>
      <c r="B42" s="191" t="s">
        <v>273</v>
      </c>
      <c r="C42" s="184" t="s">
        <v>461</v>
      </c>
      <c r="D42" s="184" t="s">
        <v>80</v>
      </c>
      <c r="E42" s="184">
        <v>4</v>
      </c>
      <c r="F42" s="184"/>
    </row>
    <row r="43" spans="1:6" x14ac:dyDescent="0.25">
      <c r="A43" s="180">
        <v>59.3333333333333</v>
      </c>
      <c r="B43" s="192" t="s">
        <v>273</v>
      </c>
      <c r="C43" s="180" t="s">
        <v>466</v>
      </c>
      <c r="D43" s="180" t="s">
        <v>80</v>
      </c>
      <c r="E43" s="180">
        <v>5</v>
      </c>
      <c r="F43" s="183"/>
    </row>
    <row r="44" spans="1:6" x14ac:dyDescent="0.25">
      <c r="A44" s="180">
        <v>60.8333333333333</v>
      </c>
      <c r="B44" s="192" t="s">
        <v>467</v>
      </c>
      <c r="C44" s="180" t="s">
        <v>466</v>
      </c>
      <c r="D44" s="180" t="s">
        <v>80</v>
      </c>
      <c r="E44" s="193">
        <v>1</v>
      </c>
      <c r="F44" s="193"/>
    </row>
    <row r="45" spans="1:6" x14ac:dyDescent="0.25">
      <c r="A45" s="180">
        <v>62.3333333333333</v>
      </c>
      <c r="B45" s="192" t="s">
        <v>468</v>
      </c>
      <c r="C45" s="180" t="s">
        <v>480</v>
      </c>
      <c r="D45" s="180" t="s">
        <v>80</v>
      </c>
      <c r="E45" s="193">
        <v>3</v>
      </c>
      <c r="F45" s="193"/>
    </row>
    <row r="46" spans="1:6" x14ac:dyDescent="0.25">
      <c r="A46" s="180">
        <v>63.8333333333333</v>
      </c>
      <c r="B46" s="192" t="s">
        <v>468</v>
      </c>
      <c r="C46" s="180" t="s">
        <v>465</v>
      </c>
      <c r="D46" s="180" t="s">
        <v>80</v>
      </c>
      <c r="E46" s="193">
        <v>1</v>
      </c>
      <c r="F46" s="193"/>
    </row>
    <row r="47" spans="1:6" x14ac:dyDescent="0.25">
      <c r="A47" s="180">
        <v>65.3333333333333</v>
      </c>
      <c r="B47" s="192" t="s">
        <v>469</v>
      </c>
      <c r="C47" s="180" t="s">
        <v>465</v>
      </c>
      <c r="D47" s="180" t="s">
        <v>80</v>
      </c>
      <c r="E47" s="193">
        <v>2</v>
      </c>
      <c r="F47" s="193"/>
    </row>
    <row r="48" spans="1:6" x14ac:dyDescent="0.25">
      <c r="A48" s="180">
        <v>66.8333333333333</v>
      </c>
      <c r="B48" s="192" t="s">
        <v>470</v>
      </c>
      <c r="C48" s="180" t="s">
        <v>466</v>
      </c>
      <c r="D48" s="180" t="s">
        <v>80</v>
      </c>
      <c r="E48" s="193">
        <v>1</v>
      </c>
      <c r="F48" s="193"/>
    </row>
    <row r="49" spans="1:6" x14ac:dyDescent="0.25">
      <c r="A49" s="180">
        <v>68.3333333333333</v>
      </c>
      <c r="B49" s="191" t="s">
        <v>538</v>
      </c>
      <c r="C49" s="184" t="s">
        <v>539</v>
      </c>
      <c r="D49" s="184" t="s">
        <v>80</v>
      </c>
      <c r="E49" s="194">
        <v>4</v>
      </c>
      <c r="F49" s="194"/>
    </row>
    <row r="50" spans="1:6" x14ac:dyDescent="0.25">
      <c r="A50" s="180">
        <v>69.8333333333333</v>
      </c>
      <c r="B50" s="191" t="s">
        <v>471</v>
      </c>
      <c r="C50" s="184" t="s">
        <v>466</v>
      </c>
      <c r="D50" s="184" t="s">
        <v>80</v>
      </c>
      <c r="E50" s="194">
        <v>10</v>
      </c>
      <c r="F50" s="194"/>
    </row>
    <row r="51" spans="1:6" x14ac:dyDescent="0.25">
      <c r="A51" s="180">
        <v>71.3333333333333</v>
      </c>
      <c r="B51" s="191" t="s">
        <v>472</v>
      </c>
      <c r="C51" s="184" t="s">
        <v>466</v>
      </c>
      <c r="D51" s="184" t="s">
        <v>80</v>
      </c>
      <c r="E51" s="184">
        <v>2</v>
      </c>
      <c r="F51" s="184"/>
    </row>
    <row r="52" spans="1:6" x14ac:dyDescent="0.25">
      <c r="A52" s="180">
        <v>72.8333333333333</v>
      </c>
      <c r="B52" s="191" t="s">
        <v>473</v>
      </c>
      <c r="C52" s="184" t="s">
        <v>466</v>
      </c>
      <c r="D52" s="184" t="s">
        <v>80</v>
      </c>
      <c r="E52" s="184">
        <v>1</v>
      </c>
      <c r="F52" s="184"/>
    </row>
    <row r="53" spans="1:6" x14ac:dyDescent="0.25">
      <c r="A53" s="180">
        <v>74.3333333333333</v>
      </c>
      <c r="B53" s="191" t="s">
        <v>473</v>
      </c>
      <c r="C53" s="184" t="s">
        <v>461</v>
      </c>
      <c r="D53" s="184" t="s">
        <v>80</v>
      </c>
      <c r="E53" s="184">
        <v>11</v>
      </c>
      <c r="F53" s="184"/>
    </row>
    <row r="54" spans="1:6" ht="27" x14ac:dyDescent="0.25">
      <c r="A54" s="180">
        <v>75.8333333333333</v>
      </c>
      <c r="B54" s="192" t="s">
        <v>499</v>
      </c>
      <c r="C54" s="180"/>
      <c r="D54" s="180" t="s">
        <v>80</v>
      </c>
      <c r="E54" s="180">
        <v>12</v>
      </c>
      <c r="F54" s="180"/>
    </row>
    <row r="55" spans="1:6" ht="27" x14ac:dyDescent="0.25">
      <c r="A55" s="180">
        <v>77.3333333333333</v>
      </c>
      <c r="B55" s="192" t="s">
        <v>500</v>
      </c>
      <c r="C55" s="180"/>
      <c r="D55" s="180" t="s">
        <v>80</v>
      </c>
      <c r="E55" s="180">
        <v>2</v>
      </c>
      <c r="F55" s="180"/>
    </row>
    <row r="56" spans="1:6" x14ac:dyDescent="0.25">
      <c r="A56" s="180">
        <v>78.8333333333333</v>
      </c>
      <c r="B56" s="192" t="s">
        <v>474</v>
      </c>
      <c r="C56" s="180"/>
      <c r="D56" s="180" t="s">
        <v>80</v>
      </c>
      <c r="E56" s="180">
        <v>14</v>
      </c>
      <c r="F56" s="180"/>
    </row>
    <row r="57" spans="1:6" x14ac:dyDescent="0.25">
      <c r="A57" s="180">
        <v>80.3333333333333</v>
      </c>
      <c r="B57" s="192" t="s">
        <v>475</v>
      </c>
      <c r="C57" s="180"/>
      <c r="D57" s="180" t="s">
        <v>80</v>
      </c>
      <c r="E57" s="180">
        <v>2</v>
      </c>
      <c r="F57" s="180"/>
    </row>
    <row r="58" spans="1:6" x14ac:dyDescent="0.25">
      <c r="A58" s="180">
        <v>81.8333333333333</v>
      </c>
      <c r="B58" s="192" t="s">
        <v>476</v>
      </c>
      <c r="C58" s="180"/>
      <c r="D58" s="180" t="s">
        <v>80</v>
      </c>
      <c r="E58" s="180">
        <v>18</v>
      </c>
      <c r="F58" s="180"/>
    </row>
    <row r="59" spans="1:6" x14ac:dyDescent="0.25">
      <c r="A59" s="180">
        <v>83.3333333333333</v>
      </c>
      <c r="B59" s="192" t="s">
        <v>477</v>
      </c>
      <c r="C59" s="180" t="s">
        <v>466</v>
      </c>
      <c r="D59" s="180" t="s">
        <v>83</v>
      </c>
      <c r="E59" s="195">
        <v>18</v>
      </c>
      <c r="F59" s="195"/>
    </row>
    <row r="60" spans="1:6" x14ac:dyDescent="0.25">
      <c r="A60" s="180">
        <v>84.8333333333333</v>
      </c>
      <c r="B60" s="192" t="s">
        <v>477</v>
      </c>
      <c r="C60" s="180" t="s">
        <v>461</v>
      </c>
      <c r="D60" s="180" t="s">
        <v>83</v>
      </c>
      <c r="E60" s="195">
        <v>18</v>
      </c>
      <c r="F60" s="195"/>
    </row>
    <row r="61" spans="1:6" x14ac:dyDescent="0.25">
      <c r="A61" s="180">
        <v>86.3333333333333</v>
      </c>
      <c r="B61" s="192" t="s">
        <v>541</v>
      </c>
      <c r="C61" s="180"/>
      <c r="D61" s="180" t="s">
        <v>78</v>
      </c>
      <c r="E61" s="195">
        <v>1</v>
      </c>
      <c r="F61" s="195"/>
    </row>
    <row r="62" spans="1:6" x14ac:dyDescent="0.25">
      <c r="A62" s="180">
        <v>87.8333333333333</v>
      </c>
      <c r="B62" s="192" t="s">
        <v>545</v>
      </c>
      <c r="C62" s="180" t="s">
        <v>462</v>
      </c>
      <c r="D62" s="180" t="s">
        <v>83</v>
      </c>
      <c r="E62" s="195">
        <v>6</v>
      </c>
      <c r="F62" s="195"/>
    </row>
    <row r="63" spans="1:6" x14ac:dyDescent="0.25">
      <c r="A63" s="180">
        <v>89.3333333333333</v>
      </c>
      <c r="B63" s="192" t="s">
        <v>545</v>
      </c>
      <c r="C63" s="180" t="s">
        <v>463</v>
      </c>
      <c r="D63" s="180" t="s">
        <v>83</v>
      </c>
      <c r="E63" s="195">
        <v>12</v>
      </c>
      <c r="F63" s="195"/>
    </row>
    <row r="64" spans="1:6" x14ac:dyDescent="0.25">
      <c r="A64" s="180">
        <v>90.8333333333333</v>
      </c>
      <c r="B64" s="192" t="s">
        <v>545</v>
      </c>
      <c r="C64" s="180" t="s">
        <v>480</v>
      </c>
      <c r="D64" s="180" t="s">
        <v>83</v>
      </c>
      <c r="E64" s="195">
        <v>6</v>
      </c>
      <c r="F64" s="195"/>
    </row>
    <row r="65" spans="1:6" x14ac:dyDescent="0.25">
      <c r="A65" s="180">
        <v>92.3333333333333</v>
      </c>
      <c r="B65" s="192" t="s">
        <v>544</v>
      </c>
      <c r="C65" s="180" t="s">
        <v>478</v>
      </c>
      <c r="D65" s="180" t="s">
        <v>83</v>
      </c>
      <c r="E65" s="195">
        <v>12</v>
      </c>
      <c r="F65" s="195"/>
    </row>
    <row r="66" spans="1:6" x14ac:dyDescent="0.25">
      <c r="A66" s="180">
        <v>93.8333333333333</v>
      </c>
      <c r="B66" s="192" t="s">
        <v>540</v>
      </c>
      <c r="C66" s="180"/>
      <c r="D66" s="180" t="s">
        <v>78</v>
      </c>
      <c r="E66" s="180">
        <v>1</v>
      </c>
      <c r="F66" s="180"/>
    </row>
    <row r="67" spans="1:6" x14ac:dyDescent="0.25">
      <c r="A67" s="180">
        <v>95.3333333333333</v>
      </c>
      <c r="B67" s="192" t="s">
        <v>479</v>
      </c>
      <c r="C67" s="180" t="s">
        <v>463</v>
      </c>
      <c r="D67" s="180" t="s">
        <v>80</v>
      </c>
      <c r="E67" s="180">
        <v>2</v>
      </c>
      <c r="F67" s="180"/>
    </row>
    <row r="68" spans="1:6" x14ac:dyDescent="0.25">
      <c r="A68" s="180">
        <v>96.8333333333333</v>
      </c>
      <c r="B68" s="192" t="s">
        <v>479</v>
      </c>
      <c r="C68" s="180" t="s">
        <v>480</v>
      </c>
      <c r="D68" s="180" t="s">
        <v>80</v>
      </c>
      <c r="E68" s="180">
        <v>6</v>
      </c>
      <c r="F68" s="180"/>
    </row>
    <row r="69" spans="1:6" x14ac:dyDescent="0.25">
      <c r="A69" s="180">
        <v>98.3333333333333</v>
      </c>
      <c r="B69" s="192" t="s">
        <v>479</v>
      </c>
      <c r="C69" s="180" t="s">
        <v>465</v>
      </c>
      <c r="D69" s="180" t="s">
        <v>80</v>
      </c>
      <c r="E69" s="180">
        <v>10</v>
      </c>
      <c r="F69" s="180"/>
    </row>
    <row r="70" spans="1:6" ht="51" x14ac:dyDescent="0.25">
      <c r="A70" s="180">
        <v>99.8333333333333</v>
      </c>
      <c r="B70" s="114" t="s">
        <v>542</v>
      </c>
      <c r="C70" s="99" t="s">
        <v>309</v>
      </c>
      <c r="D70" s="99" t="s">
        <v>78</v>
      </c>
      <c r="E70" s="203">
        <v>1</v>
      </c>
      <c r="F70" s="103" t="s">
        <v>543</v>
      </c>
    </row>
    <row r="71" spans="1:6" ht="25.5" x14ac:dyDescent="0.25">
      <c r="A71" s="180">
        <v>101.333333333333</v>
      </c>
      <c r="B71" s="196" t="s">
        <v>481</v>
      </c>
      <c r="C71" s="197" t="s">
        <v>482</v>
      </c>
      <c r="D71" s="197" t="s">
        <v>83</v>
      </c>
      <c r="E71" s="195">
        <f>E59</f>
        <v>18</v>
      </c>
      <c r="F71" s="180" t="s">
        <v>199</v>
      </c>
    </row>
    <row r="72" spans="1:6" ht="25.5" x14ac:dyDescent="0.25">
      <c r="A72" s="180">
        <v>102.833333333333</v>
      </c>
      <c r="B72" s="198" t="s">
        <v>483</v>
      </c>
      <c r="C72" s="180" t="s">
        <v>484</v>
      </c>
      <c r="D72" s="180" t="s">
        <v>83</v>
      </c>
      <c r="E72" s="195">
        <f>E60</f>
        <v>18</v>
      </c>
      <c r="F72" s="180" t="s">
        <v>199</v>
      </c>
    </row>
    <row r="73" spans="1:6" ht="25.5" x14ac:dyDescent="0.25">
      <c r="A73" s="180">
        <v>104.333333333333</v>
      </c>
      <c r="B73" s="198" t="s">
        <v>485</v>
      </c>
      <c r="C73" s="180" t="s">
        <v>484</v>
      </c>
      <c r="D73" s="180" t="s">
        <v>83</v>
      </c>
      <c r="E73" s="195">
        <f>E62</f>
        <v>6</v>
      </c>
      <c r="F73" s="180" t="s">
        <v>199</v>
      </c>
    </row>
    <row r="74" spans="1:6" ht="25.5" x14ac:dyDescent="0.25">
      <c r="A74" s="180">
        <v>105.833333333333</v>
      </c>
      <c r="B74" s="198" t="s">
        <v>486</v>
      </c>
      <c r="C74" s="180" t="s">
        <v>484</v>
      </c>
      <c r="D74" s="180" t="s">
        <v>83</v>
      </c>
      <c r="E74" s="195">
        <f>E63</f>
        <v>12</v>
      </c>
      <c r="F74" s="180" t="s">
        <v>199</v>
      </c>
    </row>
    <row r="75" spans="1:6" ht="25.5" x14ac:dyDescent="0.25">
      <c r="A75" s="180">
        <v>107.333333333333</v>
      </c>
      <c r="B75" s="198" t="s">
        <v>487</v>
      </c>
      <c r="C75" s="180" t="s">
        <v>484</v>
      </c>
      <c r="D75" s="180" t="s">
        <v>83</v>
      </c>
      <c r="E75" s="195">
        <f>E64</f>
        <v>6</v>
      </c>
      <c r="F75" s="180" t="s">
        <v>199</v>
      </c>
    </row>
    <row r="76" spans="1:6" ht="25.5" x14ac:dyDescent="0.25">
      <c r="A76" s="180">
        <v>108.833333333333</v>
      </c>
      <c r="B76" s="198" t="s">
        <v>488</v>
      </c>
      <c r="C76" s="180" t="s">
        <v>484</v>
      </c>
      <c r="D76" s="180" t="s">
        <v>83</v>
      </c>
      <c r="E76" s="195">
        <f>E65</f>
        <v>12</v>
      </c>
      <c r="F76" s="180" t="s">
        <v>199</v>
      </c>
    </row>
    <row r="77" spans="1:6" ht="25.5" x14ac:dyDescent="0.25">
      <c r="A77" s="180">
        <v>110.333333333333</v>
      </c>
      <c r="B77" s="198" t="s">
        <v>489</v>
      </c>
      <c r="C77" s="180" t="s">
        <v>490</v>
      </c>
      <c r="D77" s="180" t="s">
        <v>501</v>
      </c>
      <c r="E77" s="199">
        <v>56</v>
      </c>
      <c r="F77" s="200"/>
    </row>
    <row r="78" spans="1:6" x14ac:dyDescent="0.25">
      <c r="A78" s="180">
        <v>111.833333333333</v>
      </c>
      <c r="B78" s="196" t="s">
        <v>491</v>
      </c>
      <c r="C78" s="180"/>
      <c r="D78" s="180" t="s">
        <v>78</v>
      </c>
      <c r="E78" s="180">
        <v>1</v>
      </c>
      <c r="F78" s="180"/>
    </row>
    <row r="79" spans="1:6" x14ac:dyDescent="0.25">
      <c r="A79" s="180">
        <v>113.333333333333</v>
      </c>
      <c r="B79" s="198" t="s">
        <v>492</v>
      </c>
      <c r="C79" s="180"/>
      <c r="D79" s="180" t="s">
        <v>78</v>
      </c>
      <c r="E79" s="201">
        <v>1</v>
      </c>
      <c r="F79" s="201"/>
    </row>
    <row r="80" spans="1:6" x14ac:dyDescent="0.25">
      <c r="A80" s="180">
        <v>114.833333333333</v>
      </c>
      <c r="B80" s="198" t="s">
        <v>493</v>
      </c>
      <c r="C80" s="180"/>
      <c r="D80" s="180" t="s">
        <v>78</v>
      </c>
      <c r="E80" s="201">
        <v>1</v>
      </c>
      <c r="F80" s="201"/>
    </row>
    <row r="81" spans="1:6" x14ac:dyDescent="0.25">
      <c r="A81" s="180"/>
      <c r="B81" s="9"/>
      <c r="C81" s="202"/>
      <c r="D81" s="202"/>
      <c r="E81" s="202"/>
      <c r="F81" s="202"/>
    </row>
  </sheetData>
  <mergeCells count="7">
    <mergeCell ref="A1:F1"/>
    <mergeCell ref="A2:A3"/>
    <mergeCell ref="B2:B3"/>
    <mergeCell ref="C2:C3"/>
    <mergeCell ref="D2:D3"/>
    <mergeCell ref="E2:E3"/>
    <mergeCell ref="F2:F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&amp;CVilces sākumskolas ēkas vienkāršota atjaunošana.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Gaisa apmaiņas</vt:lpstr>
      <vt:lpstr>Ventilācija</vt:lpstr>
      <vt:lpstr>Demontāža</vt:lpstr>
      <vt:lpstr>Grīdu apsilde</vt:lpstr>
      <vt:lpstr>Boileru silt.apg.</vt:lpstr>
      <vt:lpstr>Kaloriferu silt.apg.</vt:lpstr>
      <vt:lpstr>Radiatoru apkure</vt:lpstr>
      <vt:lpstr>Siltummezgls</vt:lpstr>
      <vt:lpstr>'Boileru silt.apg.'!Print_Titles</vt:lpstr>
      <vt:lpstr>Demontāža!Print_Titles</vt:lpstr>
      <vt:lpstr>'Gaisa apmaiņas'!Print_Titles</vt:lpstr>
      <vt:lpstr>'Grīdu apsilde'!Print_Titles</vt:lpstr>
      <vt:lpstr>'Kaloriferu silt.apg.'!Print_Titles</vt:lpstr>
      <vt:lpstr>'Radiatoru apkure'!Print_Titles</vt:lpstr>
      <vt:lpstr>Siltummezgls!Print_Titles</vt:lpstr>
      <vt:lpstr>Ventilācija!Print_Titles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Juta</dc:creator>
  <cp:lastModifiedBy>Aivars</cp:lastModifiedBy>
  <cp:lastPrinted>2016-04-27T09:48:07Z</cp:lastPrinted>
  <dcterms:created xsi:type="dcterms:W3CDTF">2010-12-26T17:09:50Z</dcterms:created>
  <dcterms:modified xsi:type="dcterms:W3CDTF">2016-04-27T09:50:53Z</dcterms:modified>
</cp:coreProperties>
</file>